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Override PartName="/xl/embeddings/oleObject_1_0.bin" ContentType="application/vnd.openxmlformats-officedocument.oleObject"/>
  <Override PartName="/xl/embeddings/oleObject_2_0.bin" ContentType="application/vnd.openxmlformats-officedocument.oleObject"/>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510" yWindow="360" windowWidth="9620" windowHeight="8700" activeTab="5"/>
  </bookViews>
  <sheets>
    <sheet name="BS" sheetId="1" r:id="rId1"/>
    <sheet name="IS" sheetId="2" r:id="rId2"/>
    <sheet name="EQ" sheetId="3" r:id="rId3"/>
    <sheet name="GT_Custom" sheetId="4" state="hidden" r:id="rId4"/>
    <sheet name="Notes" sheetId="5" r:id="rId5"/>
    <sheet name="CF" sheetId="6" r:id="rId6"/>
    <sheet name="Sheet1" sheetId="7" r:id="rId7"/>
  </sheets>
  <externalReferences>
    <externalReference r:id="rId10"/>
  </externalReferences>
  <definedNames>
    <definedName name="_xlnm.Print_Area" localSheetId="0">'BS'!$A$1:$E$55</definedName>
    <definedName name="_xlnm.Print_Area" localSheetId="5">'CF'!$A$1:$E$57</definedName>
    <definedName name="_xlnm.Print_Area" localSheetId="2">'EQ'!$A$1:$H$46</definedName>
    <definedName name="_xlnm.Print_Area" localSheetId="1">'IS'!$A$1:$H$101</definedName>
    <definedName name="_xlnm.Print_Area" localSheetId="4">'Notes'!$A$1:$I$273</definedName>
    <definedName name="_xlnm.Print_Titles" localSheetId="1">'IS'!$1:$5</definedName>
    <definedName name="_xlnm.Print_Titles" localSheetId="4">'Notes'!$5:$7</definedName>
  </definedNames>
  <calcPr fullCalcOnLoad="1"/>
</workbook>
</file>

<file path=xl/sharedStrings.xml><?xml version="1.0" encoding="utf-8"?>
<sst xmlns="http://schemas.openxmlformats.org/spreadsheetml/2006/main" count="501" uniqueCount="363">
  <si>
    <t>C1</t>
  </si>
  <si>
    <t>Custom 1</t>
  </si>
  <si>
    <t>C2</t>
  </si>
  <si>
    <t>Custom 2</t>
  </si>
  <si>
    <t>C3</t>
  </si>
  <si>
    <t>Custom 3</t>
  </si>
  <si>
    <t>C4</t>
  </si>
  <si>
    <t>Custom 4</t>
  </si>
  <si>
    <t>C5</t>
  </si>
  <si>
    <t>Custom 5</t>
  </si>
  <si>
    <t>C6</t>
  </si>
  <si>
    <t>Custom 6</t>
  </si>
  <si>
    <t>C7</t>
  </si>
  <si>
    <t>Custom 7</t>
  </si>
  <si>
    <t>C8</t>
  </si>
  <si>
    <t>Custom 8</t>
  </si>
  <si>
    <t>(Unaudited)</t>
  </si>
  <si>
    <t>(Audited)</t>
  </si>
  <si>
    <t>RM'000</t>
  </si>
  <si>
    <t>ASSETS</t>
  </si>
  <si>
    <t xml:space="preserve">Non-current assets </t>
  </si>
  <si>
    <t>Property, plant and equipment</t>
  </si>
  <si>
    <t>Investment properties</t>
  </si>
  <si>
    <t>Prepaid lease payments</t>
  </si>
  <si>
    <t>Current assets</t>
  </si>
  <si>
    <t>Inventories</t>
  </si>
  <si>
    <t>Trade and other receivables</t>
  </si>
  <si>
    <t>Tax recoverable</t>
  </si>
  <si>
    <t>TOTAL ASSETS</t>
  </si>
  <si>
    <t>EQUITY AND LIABILITIES</t>
  </si>
  <si>
    <t>Share capital</t>
  </si>
  <si>
    <t>Reserves</t>
  </si>
  <si>
    <t>Total equity</t>
  </si>
  <si>
    <t>Non-current liabilities</t>
  </si>
  <si>
    <t>Provision for retirement benefits</t>
  </si>
  <si>
    <t>Borrowings</t>
  </si>
  <si>
    <t>Deferred tax liabilities</t>
  </si>
  <si>
    <t>Current liabilities</t>
  </si>
  <si>
    <t>Trade and other payables</t>
  </si>
  <si>
    <t>Taxation</t>
  </si>
  <si>
    <t>Total liabilities</t>
  </si>
  <si>
    <t>TOTAL EQUITY AND LIABILITIES</t>
  </si>
  <si>
    <t>CHIN WELL HOLDINGS BERHAD</t>
  </si>
  <si>
    <t>(371551-T)</t>
  </si>
  <si>
    <t>ended</t>
  </si>
  <si>
    <t>Revenue</t>
  </si>
  <si>
    <t>Interest income</t>
  </si>
  <si>
    <t xml:space="preserve">Distributable </t>
  </si>
  <si>
    <t xml:space="preserve"> Foreign </t>
  </si>
  <si>
    <t xml:space="preserve"> Share </t>
  </si>
  <si>
    <t xml:space="preserve"> Translation </t>
  </si>
  <si>
    <t xml:space="preserve"> Retained </t>
  </si>
  <si>
    <t>Minority</t>
  </si>
  <si>
    <t>Total</t>
  </si>
  <si>
    <t xml:space="preserve"> Capital </t>
  </si>
  <si>
    <t xml:space="preserve"> Premium </t>
  </si>
  <si>
    <t xml:space="preserve"> Reserve </t>
  </si>
  <si>
    <t xml:space="preserve"> Profits </t>
  </si>
  <si>
    <t xml:space="preserve"> Total </t>
  </si>
  <si>
    <t>Equity</t>
  </si>
  <si>
    <t xml:space="preserve"> RM'000 </t>
  </si>
  <si>
    <t xml:space="preserve">           CHIN WELL HOLDINGS BERHAD</t>
  </si>
  <si>
    <t>Cash flows from operating activities</t>
  </si>
  <si>
    <t>Profit before taxation</t>
  </si>
  <si>
    <t>Adjustments for  :</t>
  </si>
  <si>
    <t>- Non-cash items</t>
  </si>
  <si>
    <t>- Non-operating items</t>
  </si>
  <si>
    <t>Operating profit before working capital changes</t>
  </si>
  <si>
    <t>Changes in working capital</t>
  </si>
  <si>
    <t>Interest paid</t>
  </si>
  <si>
    <t>Cash flows from investing activities</t>
  </si>
  <si>
    <t>Interest received</t>
  </si>
  <si>
    <t>Purchase of property, plant and equipment</t>
  </si>
  <si>
    <t>Net cash used in investing activities</t>
  </si>
  <si>
    <t>Cash flows from financing activities</t>
  </si>
  <si>
    <t>Effect of changes in exchange rate</t>
  </si>
  <si>
    <t>Cash and cash equivalents at beginning</t>
  </si>
  <si>
    <t>Cash and cash equivalents at end</t>
  </si>
  <si>
    <t xml:space="preserve">             (371551-T)</t>
  </si>
  <si>
    <t>A1.</t>
  </si>
  <si>
    <t>Basis of Preparation</t>
  </si>
  <si>
    <t>Audit Report of Preceding Annual Financial Statements</t>
  </si>
  <si>
    <t>A3.</t>
  </si>
  <si>
    <t>Seasonal or Cyclical Factors</t>
  </si>
  <si>
    <t>The business of the Group was not affected by any significant seasonal or cyclical factors.</t>
  </si>
  <si>
    <t>A4.</t>
  </si>
  <si>
    <t>Unusual Items</t>
  </si>
  <si>
    <t>A5.</t>
  </si>
  <si>
    <t>Changes in Estimates</t>
  </si>
  <si>
    <t>There were no changes in estimates of amounts reported in the prior financial period that have a material effect in the current quarter.</t>
  </si>
  <si>
    <t>A6.</t>
  </si>
  <si>
    <t>Debt and Equity Securities</t>
  </si>
  <si>
    <t>There were no issuance, cancellation, repurchases, resale and repayment of debt and equity securities for the current quarter to date under review.</t>
  </si>
  <si>
    <t>A7.</t>
  </si>
  <si>
    <t xml:space="preserve">Dividends </t>
  </si>
  <si>
    <t>Segment Information</t>
  </si>
  <si>
    <t>Segment information is presented in respect of the Group’s business segment. Inter-segment pricing is determined based on a negotiated basis.</t>
  </si>
  <si>
    <t>Fastener Products</t>
  </si>
  <si>
    <t>Wire Products</t>
  </si>
  <si>
    <t>Others</t>
  </si>
  <si>
    <t>Elimination</t>
  </si>
  <si>
    <t>Group</t>
  </si>
  <si>
    <t>RM’000</t>
  </si>
  <si>
    <t>Inter-segment revenue</t>
  </si>
  <si>
    <t>Total revenue</t>
  </si>
  <si>
    <t>Segment assets</t>
  </si>
  <si>
    <t>Segment liabilities</t>
  </si>
  <si>
    <t>Malaysia</t>
  </si>
  <si>
    <t>Vietnam</t>
  </si>
  <si>
    <t>Other Asian countries</t>
  </si>
  <si>
    <t>European countries</t>
  </si>
  <si>
    <t>Valuations of Property, Plant and Equipment</t>
  </si>
  <si>
    <t>The valuations of property, plant and equipment have been brought forward, without amendment from the previous audited financial statements.</t>
  </si>
  <si>
    <t>Changes in Group’s Composition</t>
  </si>
  <si>
    <t xml:space="preserve">Capital Commitments </t>
  </si>
  <si>
    <t>A8.</t>
  </si>
  <si>
    <t>A9.</t>
  </si>
  <si>
    <t>A10.</t>
  </si>
  <si>
    <t>A13.</t>
  </si>
  <si>
    <t>Review of Performance</t>
  </si>
  <si>
    <t>3 months ended</t>
  </si>
  <si>
    <t>B1.</t>
  </si>
  <si>
    <t>Variation of Results Against Preceding Quarter</t>
  </si>
  <si>
    <t>B2.</t>
  </si>
  <si>
    <t>Prospects</t>
  </si>
  <si>
    <t>Profit Forecast</t>
  </si>
  <si>
    <t>There was no profit forecast made in any public document.</t>
  </si>
  <si>
    <t>B3.</t>
  </si>
  <si>
    <t>B4.</t>
  </si>
  <si>
    <t>Tax Expense</t>
  </si>
  <si>
    <t>Malaysian income tax</t>
  </si>
  <si>
    <t>- Current tax</t>
  </si>
  <si>
    <t>- Deferred tax liabilities</t>
  </si>
  <si>
    <t>B5.</t>
  </si>
  <si>
    <t>Unquoted Investments and Properties</t>
  </si>
  <si>
    <t>Quoted Investments</t>
  </si>
  <si>
    <t>Status of Corporate Proposals</t>
  </si>
  <si>
    <t xml:space="preserve">Borrowings and Debt Securities </t>
  </si>
  <si>
    <t>Denominated</t>
  </si>
  <si>
    <t>in USD</t>
  </si>
  <si>
    <t xml:space="preserve">Denominated </t>
  </si>
  <si>
    <t>in RM</t>
  </si>
  <si>
    <t>Short term</t>
  </si>
  <si>
    <t>Trust receipts</t>
  </si>
  <si>
    <t>Term loans</t>
  </si>
  <si>
    <t>Long term</t>
  </si>
  <si>
    <t>Unsecured :</t>
  </si>
  <si>
    <t>Secured :</t>
  </si>
  <si>
    <t>Loan from a  corporate</t>
  </si>
  <si>
    <t xml:space="preserve">     shareholder of a subsidiary</t>
  </si>
  <si>
    <t>Off Balance Sheet Financial Instruments</t>
  </si>
  <si>
    <t xml:space="preserve">Material Litigation </t>
  </si>
  <si>
    <t>Proposed Dividend</t>
  </si>
  <si>
    <t>Earnings Per Share</t>
  </si>
  <si>
    <t>B6.</t>
  </si>
  <si>
    <t>B7.</t>
  </si>
  <si>
    <t>B8.</t>
  </si>
  <si>
    <t>B9.</t>
  </si>
  <si>
    <t>B10.</t>
  </si>
  <si>
    <t>B11.</t>
  </si>
  <si>
    <t>B12.</t>
  </si>
  <si>
    <t>B13.</t>
  </si>
  <si>
    <t>Rental received</t>
  </si>
  <si>
    <t>Represented by :</t>
  </si>
  <si>
    <t>Bank overdraft</t>
  </si>
  <si>
    <t>Short term loans</t>
  </si>
  <si>
    <t>Profit for the period</t>
  </si>
  <si>
    <t>Effect of changes in exchange rates on cash and cash equivalents</t>
  </si>
  <si>
    <t>Results</t>
  </si>
  <si>
    <t>Cash generated from operations</t>
  </si>
  <si>
    <t>Operating profit</t>
  </si>
  <si>
    <t xml:space="preserve"> </t>
  </si>
  <si>
    <t>Minority interests</t>
  </si>
  <si>
    <t>Interests</t>
  </si>
  <si>
    <t>Unrealised</t>
  </si>
  <si>
    <t>CWH</t>
  </si>
  <si>
    <t>CWF</t>
  </si>
  <si>
    <t>Allowance</t>
  </si>
  <si>
    <t>Amort</t>
  </si>
  <si>
    <t>Gain on disposal of</t>
  </si>
  <si>
    <t>asso</t>
  </si>
  <si>
    <t>ppe</t>
  </si>
  <si>
    <t>Int income</t>
  </si>
  <si>
    <t>Int exp</t>
  </si>
  <si>
    <t>retirement</t>
  </si>
  <si>
    <t>rental</t>
  </si>
  <si>
    <t>CHI</t>
  </si>
  <si>
    <t>Rec</t>
  </si>
  <si>
    <t>Pay</t>
  </si>
  <si>
    <t>Borrowing</t>
  </si>
  <si>
    <t>Cash</t>
  </si>
  <si>
    <t>a</t>
  </si>
  <si>
    <t>Depn</t>
  </si>
  <si>
    <t>depn</t>
  </si>
  <si>
    <t>gain</t>
  </si>
  <si>
    <t>amort</t>
  </si>
  <si>
    <t>proceed</t>
  </si>
  <si>
    <t>purchase</t>
  </si>
  <si>
    <t>fgn</t>
  </si>
  <si>
    <t>addition</t>
  </si>
  <si>
    <t>vietnam</t>
  </si>
  <si>
    <t>begin</t>
  </si>
  <si>
    <t>end</t>
  </si>
  <si>
    <t>PAT</t>
  </si>
  <si>
    <t>Fgn</t>
  </si>
  <si>
    <t>Div pd</t>
  </si>
  <si>
    <t>Last yr rate (closing)</t>
  </si>
  <si>
    <t>vnd</t>
  </si>
  <si>
    <t>rm</t>
  </si>
  <si>
    <t>this yr rate (closing)</t>
  </si>
  <si>
    <t>Basic earnings per share (sen)</t>
  </si>
  <si>
    <t>Weighted average number of ordinary shares of</t>
  </si>
  <si>
    <t>Basic Earnings Per Share (sen)</t>
  </si>
  <si>
    <t xml:space="preserve">CONDENSED CONSOLIDATED STATEMENT OF FINANCIAL POSITION </t>
  </si>
  <si>
    <t>Other investment</t>
  </si>
  <si>
    <t>Other receivable</t>
  </si>
  <si>
    <t>CONDENSED CONSOLIDATED STATEMENT OF COMPREHENSIVE INCOME</t>
  </si>
  <si>
    <t>Cost of sales</t>
  </si>
  <si>
    <t>Gross profit</t>
  </si>
  <si>
    <t>Other income</t>
  </si>
  <si>
    <t>Administrative expenses</t>
  </si>
  <si>
    <t>Selling and distribution expenses</t>
  </si>
  <si>
    <t>Finance costs</t>
  </si>
  <si>
    <t>Foreign currency translation differences</t>
  </si>
  <si>
    <t xml:space="preserve">  for foreign operations</t>
  </si>
  <si>
    <t xml:space="preserve">   the period</t>
  </si>
  <si>
    <t xml:space="preserve">    for the period</t>
  </si>
  <si>
    <t>Profit attributable to :</t>
  </si>
  <si>
    <t xml:space="preserve">  Minority interests</t>
  </si>
  <si>
    <t xml:space="preserve">Basic earnings per share attributable </t>
  </si>
  <si>
    <t>|---- Non-distributable ----|</t>
  </si>
  <si>
    <t xml:space="preserve">   for the period</t>
  </si>
  <si>
    <t xml:space="preserve"> Effective date</t>
  </si>
  <si>
    <t>NOTES TO THE CONDENSED CONSOLIDATED INTERIM FINANCIAL STATEMENTS</t>
  </si>
  <si>
    <t>Individual Quarter</t>
  </si>
  <si>
    <t>Cumulative Quarter</t>
  </si>
  <si>
    <t xml:space="preserve"> CHIN WELL HOLDINGS BERHAD</t>
  </si>
  <si>
    <t>External revenue</t>
  </si>
  <si>
    <t>Non-Current Assets</t>
  </si>
  <si>
    <t>Depreciation</t>
  </si>
  <si>
    <t>Profit before depreciation, interest exp/income</t>
  </si>
  <si>
    <t xml:space="preserve">(i) Analysis by business segments </t>
  </si>
  <si>
    <t xml:space="preserve">(ii) Analysis by geographical segments </t>
  </si>
  <si>
    <t>There were no corporate proposals announced but not completed as at the date of this report.</t>
  </si>
  <si>
    <t xml:space="preserve">   RM0.50 each </t>
  </si>
  <si>
    <t>|------------- Attributable to Owners of the Company -------------|</t>
  </si>
  <si>
    <t>profit</t>
  </si>
  <si>
    <t>forex</t>
  </si>
  <si>
    <t>reserve</t>
  </si>
  <si>
    <t>b/f</t>
  </si>
  <si>
    <t>retained</t>
  </si>
  <si>
    <t>total</t>
  </si>
  <si>
    <t>SC</t>
  </si>
  <si>
    <t>Premium</t>
  </si>
  <si>
    <t>MI</t>
  </si>
  <si>
    <t>c/f</t>
  </si>
  <si>
    <t>TCI</t>
  </si>
  <si>
    <t>Segment profit/(loss)</t>
  </si>
  <si>
    <t>As restated</t>
  </si>
  <si>
    <t>CONDENSED CONSOLIDATED STATEMENT OF CHANGES IN EQUITY</t>
  </si>
  <si>
    <t>CONDENSED CONSOLIDATED STATEMENT OF CASH FLOWS</t>
  </si>
  <si>
    <t>Cash and bank balances</t>
  </si>
  <si>
    <t>A2.</t>
  </si>
  <si>
    <t>Contingent Liabilities and Contingent Assets</t>
  </si>
  <si>
    <t xml:space="preserve">A11. </t>
  </si>
  <si>
    <t>A12.</t>
  </si>
  <si>
    <t>Profit/(loss) before taxation</t>
  </si>
  <si>
    <t xml:space="preserve">Attributable to owners of the parent </t>
  </si>
  <si>
    <t>- Effect of adopting FRS 139</t>
  </si>
  <si>
    <t>30.9.10</t>
  </si>
  <si>
    <t>B14.</t>
  </si>
  <si>
    <t xml:space="preserve">    and its subsidiaries :</t>
  </si>
  <si>
    <t>- Realised</t>
  </si>
  <si>
    <t>- Unrealised</t>
  </si>
  <si>
    <t>Net assets per share attributable to Owners of the Parent  (RM)</t>
  </si>
  <si>
    <t>Other comprehensive income/(loss), net of tax</t>
  </si>
  <si>
    <t>Total comprehensive income/(loss) attributable to :</t>
  </si>
  <si>
    <t>Net increase in cash and cash equivalents</t>
  </si>
  <si>
    <t xml:space="preserve">Total comprehensive (loss)/income </t>
  </si>
  <si>
    <t>Event Subsequent to the End of the Reporting Period</t>
  </si>
  <si>
    <t xml:space="preserve">There were no material events subsequent to the end of the reporting period that have not been reflected in the quarterly financial statements. </t>
  </si>
  <si>
    <t>There were no contingent assets or contingent liabilities since the end of the last annual reporting period.</t>
  </si>
  <si>
    <t>Profit after taxation</t>
  </si>
  <si>
    <t>Provision for taxation</t>
  </si>
  <si>
    <t xml:space="preserve">  Owners of the parent</t>
  </si>
  <si>
    <t xml:space="preserve">   to owners of the parent (sen)</t>
  </si>
  <si>
    <t>Equity attributable to owners of the parent</t>
  </si>
  <si>
    <t>At 1 July 2010</t>
  </si>
  <si>
    <t>Net cash (used in)/from financing activities</t>
  </si>
  <si>
    <t>As at</t>
  </si>
  <si>
    <t>30.6.11</t>
  </si>
  <si>
    <t>30.6.11
RM’000</t>
  </si>
  <si>
    <t>Bankers acceptance</t>
  </si>
  <si>
    <t>Net cash from/(used in) operating activities</t>
  </si>
  <si>
    <t>Dividends paid</t>
  </si>
  <si>
    <t>AS AT 30 SEPTEMBER 2011 - UNAUDITED</t>
  </si>
  <si>
    <t>30.9.11</t>
  </si>
  <si>
    <t>Dividend payable</t>
  </si>
  <si>
    <t>Fixed deposits with a licensed bank</t>
  </si>
  <si>
    <t>The Condensed Consolidated Statement of Financial Position should be read in conjunction with the Group's audited financial statements for the financial year ended 30 June 2011.</t>
  </si>
  <si>
    <t>The Condensed Consolidated Statement of Comprehensive Income should be read in conjunction with the Group's audited financial statements for the financial year ended 30 June 2011.</t>
  </si>
  <si>
    <t>At 1 July 2011</t>
  </si>
  <si>
    <t>At 30 September 2011</t>
  </si>
  <si>
    <t>At 30 September 2010</t>
  </si>
  <si>
    <t>The Condensed Consolidated Statement of Changes in Equity should be read in conjunction with the Group's audited Financial Statement for the financial year ended 30 June 2011. The accompanying notes are an integral part of this statement.</t>
  </si>
  <si>
    <t>The Condensed Consolidated Statement of Cash Flow should be read in conjunction with the Group's audited Financial Statement for the financial year ended 30 June 2011. The accompanying notes are an integral part of this statement.</t>
  </si>
  <si>
    <t xml:space="preserve">Total comprehensive income </t>
  </si>
  <si>
    <t>Total comprehensive income</t>
  </si>
  <si>
    <t>The interim financial report is unaudited and has been prepared in compliance with FRS 134, Interim Financial Reporting and paragraph 9.22 of the Listing Requirements of Bursa Malaysia Securities Berhad, and should be read in conjunction with the audited financial statements of the Group for the financial year ended 30 June 2011.</t>
  </si>
  <si>
    <t>The accounting policies and methods of computation adopted by the Group in this interim financial report are consistent with those adopted in the financial statements for the financial year ended 30 June 2011, except for the adoption of the following :</t>
  </si>
  <si>
    <t>Amendments/Improvements to FRSs</t>
  </si>
  <si>
    <t>FRS 1 - Limited Exemption from Comparative FRS 7 Disclosure for First-time Adopters</t>
  </si>
  <si>
    <t xml:space="preserve"> 1 January 2011</t>
  </si>
  <si>
    <t>FRS 2 - Group Cash-settled Share-based Payment Transactions</t>
  </si>
  <si>
    <t>FRS 3 - Business Combinations</t>
  </si>
  <si>
    <t>FRS 7 - Improving Disclosures about Financial Instruments</t>
  </si>
  <si>
    <t>FRS 101 - Presentation of Financial Statements</t>
  </si>
  <si>
    <t>FRS 121 - The Effects of Changes in Foreign Exchange Rates</t>
  </si>
  <si>
    <t>FRS 128 - Investment in Associates</t>
  </si>
  <si>
    <t>FRS 131 - Investment in Joint Ventures</t>
  </si>
  <si>
    <t>FRS 132 - Financial Instruments : Presentation</t>
  </si>
  <si>
    <t>FRS 134 - Interim Financial Reporting</t>
  </si>
  <si>
    <t>IC Int 4 - Determining Whether an Arrangement contains a Lease</t>
  </si>
  <si>
    <t>IC Int 18 - Transfers of Assets from Customers</t>
  </si>
  <si>
    <t>1 July 2011</t>
  </si>
  <si>
    <t>Amendments to IC Int</t>
  </si>
  <si>
    <t xml:space="preserve">IC Int 13  - Customer Loyalty Programmes </t>
  </si>
  <si>
    <t>IC Int 14 - Prepayments of a Minimum Funding Requirement</t>
  </si>
  <si>
    <t>1 January 2011</t>
  </si>
  <si>
    <t xml:space="preserve">The adoption of these revised FRSs, amendments/improvements to FRS, IC Int and amendments to IC Int did not have any material impact on the current quarter financial statements. </t>
  </si>
  <si>
    <t>IC Int</t>
  </si>
  <si>
    <t>The auditors’ report of the Group’s most recent annual audited financial statements for the financial year ended 30 June 2011 was not subject to any qualification.</t>
  </si>
  <si>
    <t>There were no unusual items affecting assets, liabilities, equity, net income, or cash flows during the financial period under review.</t>
  </si>
  <si>
    <t xml:space="preserve">No dividends were declared during the current quarter under review. </t>
  </si>
  <si>
    <t>3 months ended 30 September 2011</t>
  </si>
  <si>
    <t>3 months ended 30 September 2010</t>
  </si>
  <si>
    <t>3 months</t>
  </si>
  <si>
    <t>There were no changes in the composition of the Group for the current quarter under review.</t>
  </si>
  <si>
    <t>There were no capital commitments of the Group for the current quarter under review.</t>
  </si>
  <si>
    <t>30.9.11
RM’000</t>
  </si>
  <si>
    <t>30.9.10
RM’000</t>
  </si>
  <si>
    <t>For the quarter under review, the Group's profit before taxation has increased by 44.71% as compared to the immediate preceding quarter. The increase were mainly contributed by the improved margins from our fastener products division.</t>
  </si>
  <si>
    <t xml:space="preserve">There were no purchases and disposals of unquoted investments and properties during the period under review.        
</t>
  </si>
  <si>
    <t>The Group's effective tax rate for the current quarter under review is lower than the Malaysian statutory tax rate of 25% as its Vietnam subsidiary is enjoying income tax exemption for a period of three years from the first year of making profit. The Vietnam subsidiary started to turn profitable in the financial year ended 30 June 2010.</t>
  </si>
  <si>
    <t>The Group’s borrowings as at 30 September 2011 were as follows :</t>
  </si>
  <si>
    <t>During the current financial period under review, the Group did not enter into any contracts involving off balance sheet financial instruments.</t>
  </si>
  <si>
    <t>There were no purchases and disposals of quoted securities during the current financial period under review.</t>
  </si>
  <si>
    <t>There was no material litigation for the financial period under review.</t>
  </si>
  <si>
    <t>There is no diluted earnings per share as the Company does not have any convertible financial instruments as at the current financial period ended 30 September 2011.</t>
  </si>
  <si>
    <t>Less : Consolidation adjustments</t>
  </si>
  <si>
    <t>Realised and Unrealised Profits Disclosure</t>
  </si>
  <si>
    <t>Total retained profits/(loss) of the Company and of</t>
  </si>
  <si>
    <t>Total group retained earning as per consolidated accounts</t>
  </si>
  <si>
    <t>FRS 139  - Financial Instruments : Recognition and Measurement</t>
  </si>
  <si>
    <t>IC Int 19 - Extinguishing Financial Liabilities with Equity Instruments</t>
  </si>
  <si>
    <t>FOR THE QUARTER ENDED  30 SEPTEMBER 2011 - UNAUDITED</t>
  </si>
  <si>
    <t>Income tax refunded/(paid)</t>
  </si>
  <si>
    <t xml:space="preserve">Barring unforeseen circumstances, the Group's performance is expected to be satisfactory for the financial year ending 30 June 2012 notwithstanding the global uncertainties. </t>
  </si>
  <si>
    <t>The basic earnings per share has been calculated based on the Group’s profit after taxation attributable to owners of the parent divided by the weighted average number of ordinary shares in issue during the period.</t>
  </si>
  <si>
    <t xml:space="preserve">The 2nd Interim dividend of 2 sen per share declared for the year ended 30 June 2011 was paid on 6 July 2011. </t>
  </si>
  <si>
    <t>Total comprehensive income for</t>
  </si>
  <si>
    <r>
      <t>The Group's revenue for the current quarter ended 30 September 2011 increased by 19.36% to RM136.89 million as compared to the previous year corresponding quarter. This was mainly due to vast improvement in sales from our fastener products division to the European Union ("EU") and other Asian countries. 
The Group posted a higher profit before taxation of RM26.60 million as compared to the previous corresponding period profit before taxation of RM9.40 million representing a 183.13% increase. The increase is in tandem with the increase in revenue for the current quarter as well as improved margins from our fastener products division. Our faster product division was able to register a higher profit margin due to</t>
    </r>
    <r>
      <rPr>
        <b/>
        <sz val="11"/>
        <color indexed="10"/>
        <rFont val="Times New Roman"/>
        <family val="1"/>
      </rPr>
      <t xml:space="preserve"> [.] </t>
    </r>
  </si>
  <si>
    <t xml:space="preserve">The Group's revenue for the current quarter ended 30 September 2011 increased by 19% to RM134 million as compared to the previous year corresponding quarter. This was mainly due to vast improvement in sales from our fastener products division to the European Union ("EU") and other Asian countries. This was mainly due to increase in revenue as well as margins from Chinwell Fasterner (Vietnam) Co Ltd which contributed 68% of the increase in profits.                    
The Group posted a higher profit before taxation of RM26 million as compared to the previous corresponding period profit before taxation of RM9.4 million representing a 175% increase. The increase is in tandem with the increase in revenue for the current quarter as well as improved margins from our fastener products division. </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</si>
</sst>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_(* #,##0.0_);_(* \(#,##0.0\);_(* &quot;-&quot;??_);_(@_)"/>
    <numFmt numFmtId="175" formatCode="_(* #,##0_);_(* \(#,##0\);_(* &quot;-&quot;??_);_(@_)"/>
    <numFmt numFmtId="176" formatCode="0.0%"/>
    <numFmt numFmtId="177" formatCode="_(* #,##0.0_);_(* \(#,##0.0\);_(* &quot;-&quot;?_);_(@_)"/>
    <numFmt numFmtId="178" formatCode="0.00_);\(0.00\)"/>
    <numFmt numFmtId="179" formatCode="_(* #,##0_);_(* \(#,##0\);_(* &quot;-&quot;?_);_(@_)"/>
    <numFmt numFmtId="180" formatCode="_(* #,##0.000000000_);_(* \(#,##0.000000000\);_(* &quot;-&quot;?????????_);_(@_)"/>
  </numFmts>
  <fonts count="85">
    <font>
      <sz val="12"/>
      <color theme="1"/>
      <name val="Times New Roman"/>
      <family val="2"/>
    </font>
    <font>
      <sz val="12"/>
      <color indexed="8"/>
      <name val="Times New Roman"/>
      <family val="2"/>
    </font>
    <font>
      <sz val="11"/>
      <name val="Times New Roman"/>
      <family val="1"/>
    </font>
    <font>
      <sz val="10"/>
      <name val="MS Sans Serif"/>
      <family val="2"/>
    </font>
    <font>
      <b/>
      <sz val="10"/>
      <name val="Times New Roman"/>
      <family val="1"/>
    </font>
    <font>
      <sz val="10"/>
      <name val="Times New Roman"/>
      <family val="1"/>
    </font>
    <font>
      <sz val="12"/>
      <name val="Times New Roman"/>
      <family val="1"/>
    </font>
    <font>
      <b/>
      <sz val="10"/>
      <color indexed="8"/>
      <name val="Times New Roman"/>
      <family val="1"/>
    </font>
    <font>
      <b/>
      <sz val="11"/>
      <name val="Times New Roman"/>
      <family val="1"/>
    </font>
    <font>
      <b/>
      <u val="single"/>
      <sz val="11"/>
      <name val="Times New Roman"/>
      <family val="1"/>
    </font>
    <font>
      <sz val="10"/>
      <color indexed="8"/>
      <name val="Times New Roman"/>
      <family val="1"/>
    </font>
    <font>
      <sz val="11"/>
      <color indexed="8"/>
      <name val="Times New Roman"/>
      <family val="2"/>
    </font>
    <font>
      <b/>
      <sz val="11"/>
      <color indexed="10"/>
      <name val="Times New Roman"/>
      <family val="1"/>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u val="single"/>
      <sz val="10.8"/>
      <color indexed="20"/>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0.8"/>
      <color indexed="12"/>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11"/>
      <color indexed="8"/>
      <name val="Calibri"/>
      <family val="2"/>
    </font>
    <font>
      <b/>
      <sz val="2"/>
      <color indexed="8"/>
      <name val="Times New Roman"/>
      <family val="1"/>
    </font>
    <font>
      <b/>
      <sz val="11"/>
      <color indexed="8"/>
      <name val="Times New Roman"/>
      <family val="1"/>
    </font>
    <font>
      <b/>
      <sz val="24"/>
      <color indexed="8"/>
      <name val="Times New Roman"/>
      <family val="1"/>
    </font>
    <font>
      <sz val="16"/>
      <color indexed="8"/>
      <name val="Times New Roman"/>
      <family val="2"/>
    </font>
    <font>
      <sz val="5"/>
      <color indexed="8"/>
      <name val="Times New Roman"/>
      <family val="1"/>
    </font>
    <font>
      <b/>
      <sz val="22"/>
      <color indexed="8"/>
      <name val="Times New Roman"/>
      <family val="1"/>
    </font>
    <font>
      <b/>
      <sz val="8"/>
      <color indexed="8"/>
      <name val="Times New Roman"/>
      <family val="1"/>
    </font>
    <font>
      <b/>
      <sz val="10"/>
      <color indexed="10"/>
      <name val="Standard Tickmarks"/>
      <family val="2"/>
    </font>
    <font>
      <b/>
      <i/>
      <sz val="11"/>
      <color indexed="8"/>
      <name val="Times New Roman"/>
      <family val="1"/>
    </font>
    <font>
      <b/>
      <sz val="11"/>
      <color indexed="8"/>
      <name val="Calibri"/>
      <family val="2"/>
    </font>
    <font>
      <sz val="8"/>
      <color indexed="8"/>
      <name val="Times New Roman"/>
      <family val="1"/>
    </font>
    <font>
      <b/>
      <u val="single"/>
      <sz val="11"/>
      <color indexed="8"/>
      <name val="Times New Roman"/>
      <family val="2"/>
    </font>
    <font>
      <b/>
      <sz val="20"/>
      <color indexed="8"/>
      <name val="Times New Roman"/>
      <family val="1"/>
    </font>
    <font>
      <sz val="14"/>
      <color indexed="8"/>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u val="single"/>
      <sz val="10.8"/>
      <color theme="11"/>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0.8"/>
      <color theme="10"/>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libri"/>
      <family val="2"/>
    </font>
    <font>
      <b/>
      <sz val="2"/>
      <color theme="1"/>
      <name val="Times New Roman"/>
      <family val="1"/>
    </font>
    <font>
      <sz val="11"/>
      <color theme="1"/>
      <name val="Times New Roman"/>
      <family val="1"/>
    </font>
    <font>
      <b/>
      <sz val="11"/>
      <color theme="1"/>
      <name val="Times New Roman"/>
      <family val="1"/>
    </font>
    <font>
      <b/>
      <sz val="24"/>
      <color theme="1"/>
      <name val="Times New Roman"/>
      <family val="1"/>
    </font>
    <font>
      <sz val="16"/>
      <color theme="1"/>
      <name val="Times New Roman"/>
      <family val="2"/>
    </font>
    <font>
      <sz val="5"/>
      <color theme="1"/>
      <name val="Times New Roman"/>
      <family val="1"/>
    </font>
    <font>
      <b/>
      <sz val="10"/>
      <color theme="1"/>
      <name val="Times New Roman"/>
      <family val="1"/>
    </font>
    <font>
      <sz val="10"/>
      <color theme="1"/>
      <name val="Times New Roman"/>
      <family val="1"/>
    </font>
    <font>
      <b/>
      <sz val="22"/>
      <color theme="1"/>
      <name val="Times New Roman"/>
      <family val="1"/>
    </font>
    <font>
      <sz val="11"/>
      <color rgb="FF000000"/>
      <name val="Calibri"/>
      <family val="2"/>
    </font>
    <font>
      <b/>
      <sz val="8"/>
      <color theme="1"/>
      <name val="Times New Roman"/>
      <family val="1"/>
    </font>
    <font>
      <b/>
      <sz val="10"/>
      <color rgb="FFFF0000"/>
      <name val="Standard Tickmarks"/>
      <family val="2"/>
    </font>
    <font>
      <b/>
      <i/>
      <sz val="11"/>
      <color theme="1"/>
      <name val="Times New Roman"/>
      <family val="1"/>
    </font>
    <font>
      <b/>
      <sz val="11"/>
      <color theme="1"/>
      <name val="Calibri"/>
      <family val="2"/>
    </font>
    <font>
      <b/>
      <sz val="11"/>
      <color rgb="FF000000"/>
      <name val="Times New Roman"/>
      <family val="1"/>
    </font>
    <font>
      <sz val="8"/>
      <color theme="1"/>
      <name val="Times New Roman"/>
      <family val="1"/>
    </font>
    <font>
      <b/>
      <u val="single"/>
      <sz val="11"/>
      <color theme="1"/>
      <name val="Times New Roman"/>
      <family val="1"/>
    </font>
    <font>
      <sz val="11"/>
      <color rgb="FF000000"/>
      <name val="Times New Roman"/>
      <family val="1"/>
    </font>
    <font>
      <b/>
      <sz val="20"/>
      <color theme="1"/>
      <name val="Times New Roman"/>
      <family val="1"/>
    </font>
    <font>
      <sz val="14"/>
      <color theme="1"/>
      <name val="Times New Roman"/>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C000"/>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00B0F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double"/>
      <bottom>
        <color indexed="63"/>
      </bottom>
    </border>
    <border>
      <left>
        <color indexed="63"/>
      </left>
      <right>
        <color indexed="63"/>
      </right>
      <top>
        <color indexed="63"/>
      </top>
      <bottom style="mediu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6"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40">
    <xf numFmtId="0" fontId="0" fillId="0" borderId="0" xfId="0" applyAlignment="1">
      <alignment/>
    </xf>
    <xf numFmtId="0" fontId="64" fillId="0" borderId="0" xfId="0" applyFont="1" applyAlignment="1">
      <alignment wrapText="1"/>
    </xf>
    <xf numFmtId="0" fontId="65" fillId="0" borderId="0" xfId="0" applyFont="1" applyAlignment="1">
      <alignment horizontal="center"/>
    </xf>
    <xf numFmtId="0" fontId="66" fillId="0" borderId="0" xfId="0" applyFont="1" applyAlignment="1">
      <alignment/>
    </xf>
    <xf numFmtId="0" fontId="66" fillId="0" borderId="0" xfId="0" applyFont="1" applyAlignment="1">
      <alignment horizontal="center"/>
    </xf>
    <xf numFmtId="0" fontId="67" fillId="0" borderId="0" xfId="0" applyFont="1" applyAlignment="1">
      <alignment/>
    </xf>
    <xf numFmtId="0" fontId="0" fillId="0" borderId="0" xfId="0" applyAlignment="1">
      <alignment/>
    </xf>
    <xf numFmtId="0" fontId="68" fillId="0" borderId="0" xfId="0" applyFont="1" applyAlignment="1">
      <alignment/>
    </xf>
    <xf numFmtId="0" fontId="69" fillId="0" borderId="0" xfId="0" applyFont="1" applyAlignment="1">
      <alignment/>
    </xf>
    <xf numFmtId="0" fontId="70" fillId="0" borderId="0" xfId="0" applyFont="1" applyAlignment="1">
      <alignment/>
    </xf>
    <xf numFmtId="175" fontId="66" fillId="0" borderId="0" xfId="42" applyNumberFormat="1" applyFont="1" applyAlignment="1">
      <alignment horizontal="right"/>
    </xf>
    <xf numFmtId="0" fontId="66" fillId="0" borderId="0" xfId="0" applyFont="1" applyAlignment="1">
      <alignment/>
    </xf>
    <xf numFmtId="175" fontId="66" fillId="0" borderId="0" xfId="42" applyNumberFormat="1" applyFont="1" applyAlignment="1">
      <alignment/>
    </xf>
    <xf numFmtId="0" fontId="0" fillId="0" borderId="0" xfId="0" applyBorder="1" applyAlignment="1">
      <alignment/>
    </xf>
    <xf numFmtId="175" fontId="66" fillId="0" borderId="10" xfId="42" applyNumberFormat="1" applyFont="1" applyBorder="1" applyAlignment="1">
      <alignment horizontal="right"/>
    </xf>
    <xf numFmtId="0" fontId="71" fillId="0" borderId="0" xfId="0" applyFont="1" applyAlignment="1">
      <alignment/>
    </xf>
    <xf numFmtId="0" fontId="72" fillId="0" borderId="0" xfId="0" applyFont="1" applyAlignment="1">
      <alignment/>
    </xf>
    <xf numFmtId="0" fontId="72" fillId="0" borderId="0" xfId="0" applyFont="1" applyAlignment="1">
      <alignment horizontal="center"/>
    </xf>
    <xf numFmtId="0" fontId="70" fillId="0" borderId="0" xfId="0" applyFont="1" applyAlignment="1">
      <alignment horizontal="right"/>
    </xf>
    <xf numFmtId="0" fontId="72" fillId="0" borderId="0" xfId="0" applyFont="1" applyAlignment="1">
      <alignment horizontal="center"/>
    </xf>
    <xf numFmtId="0" fontId="71" fillId="0" borderId="0" xfId="0" applyFont="1" applyAlignment="1">
      <alignment/>
    </xf>
    <xf numFmtId="0" fontId="72" fillId="0" borderId="0" xfId="0" applyFont="1" applyAlignment="1">
      <alignment/>
    </xf>
    <xf numFmtId="0" fontId="72" fillId="0" borderId="11" xfId="0" applyFont="1" applyBorder="1" applyAlignment="1">
      <alignment/>
    </xf>
    <xf numFmtId="0" fontId="73" fillId="0" borderId="0" xfId="0" applyFont="1" applyAlignment="1">
      <alignment/>
    </xf>
    <xf numFmtId="0" fontId="0" fillId="0" borderId="0" xfId="0" applyAlignment="1">
      <alignment horizontal="center"/>
    </xf>
    <xf numFmtId="0" fontId="62" fillId="0" borderId="0" xfId="0" applyFont="1" applyAlignment="1">
      <alignment/>
    </xf>
    <xf numFmtId="0" fontId="0" fillId="0" borderId="12" xfId="0" applyBorder="1" applyAlignment="1">
      <alignment/>
    </xf>
    <xf numFmtId="0" fontId="0" fillId="0" borderId="0" xfId="0" applyFont="1" applyAlignment="1">
      <alignment/>
    </xf>
    <xf numFmtId="175" fontId="66" fillId="0" borderId="0" xfId="42" applyNumberFormat="1" applyFont="1" applyBorder="1" applyAlignment="1">
      <alignment horizontal="right"/>
    </xf>
    <xf numFmtId="175" fontId="0" fillId="0" borderId="0" xfId="0" applyNumberFormat="1" applyAlignment="1">
      <alignment/>
    </xf>
    <xf numFmtId="175" fontId="2" fillId="0" borderId="0" xfId="42" applyNumberFormat="1" applyFont="1" applyFill="1" applyAlignment="1">
      <alignment/>
    </xf>
    <xf numFmtId="0" fontId="72" fillId="0" borderId="0" xfId="0" applyFont="1" applyAlignment="1">
      <alignment/>
    </xf>
    <xf numFmtId="43" fontId="0" fillId="0" borderId="0" xfId="0" applyNumberFormat="1" applyAlignment="1">
      <alignment/>
    </xf>
    <xf numFmtId="175" fontId="72" fillId="0" borderId="0" xfId="42" applyNumberFormat="1" applyFont="1" applyAlignment="1">
      <alignment/>
    </xf>
    <xf numFmtId="0" fontId="72" fillId="0" borderId="0" xfId="0" applyFont="1" applyBorder="1" applyAlignment="1">
      <alignment/>
    </xf>
    <xf numFmtId="0" fontId="4" fillId="0" borderId="0" xfId="60" applyFont="1" applyFill="1" applyBorder="1">
      <alignment/>
      <protection/>
    </xf>
    <xf numFmtId="0" fontId="5" fillId="0" borderId="0" xfId="60" applyFont="1" applyFill="1" applyBorder="1">
      <alignment/>
      <protection/>
    </xf>
    <xf numFmtId="175" fontId="72" fillId="0" borderId="0" xfId="42" applyNumberFormat="1" applyFont="1" applyBorder="1" applyAlignment="1">
      <alignment/>
    </xf>
    <xf numFmtId="175" fontId="72" fillId="0" borderId="10" xfId="42" applyNumberFormat="1" applyFont="1" applyBorder="1" applyAlignment="1">
      <alignment/>
    </xf>
    <xf numFmtId="175" fontId="72" fillId="0" borderId="13" xfId="42" applyNumberFormat="1" applyFont="1" applyBorder="1" applyAlignment="1">
      <alignment/>
    </xf>
    <xf numFmtId="175" fontId="72" fillId="0" borderId="14" xfId="42" applyNumberFormat="1" applyFont="1" applyBorder="1" applyAlignment="1">
      <alignment/>
    </xf>
    <xf numFmtId="175" fontId="72" fillId="0" borderId="15" xfId="42" applyNumberFormat="1" applyFont="1" applyBorder="1" applyAlignment="1">
      <alignment/>
    </xf>
    <xf numFmtId="0" fontId="72" fillId="0" borderId="0" xfId="0" applyFont="1" applyAlignment="1">
      <alignment/>
    </xf>
    <xf numFmtId="0" fontId="71" fillId="0" borderId="0" xfId="0" applyFont="1" applyAlignment="1">
      <alignment/>
    </xf>
    <xf numFmtId="0" fontId="72" fillId="0" borderId="0" xfId="0" applyFont="1" applyAlignment="1">
      <alignment/>
    </xf>
    <xf numFmtId="175" fontId="64" fillId="0" borderId="0" xfId="0" applyNumberFormat="1" applyFont="1" applyAlignment="1">
      <alignment wrapText="1"/>
    </xf>
    <xf numFmtId="0" fontId="0" fillId="0" borderId="0" xfId="0" applyFill="1" applyAlignment="1">
      <alignment/>
    </xf>
    <xf numFmtId="0" fontId="72" fillId="0" borderId="0" xfId="0" applyFont="1" applyAlignment="1">
      <alignment/>
    </xf>
    <xf numFmtId="175" fontId="66" fillId="0" borderId="10" xfId="42" applyNumberFormat="1" applyFont="1" applyFill="1" applyBorder="1" applyAlignment="1">
      <alignment horizontal="right"/>
    </xf>
    <xf numFmtId="10" fontId="0" fillId="0" borderId="0" xfId="64" applyNumberFormat="1" applyFont="1" applyAlignment="1">
      <alignment/>
    </xf>
    <xf numFmtId="0" fontId="66" fillId="0" borderId="0" xfId="0" applyFont="1" applyFill="1" applyAlignment="1">
      <alignment horizontal="center"/>
    </xf>
    <xf numFmtId="0" fontId="72" fillId="0" borderId="0" xfId="0" applyFont="1" applyFill="1" applyAlignment="1">
      <alignment/>
    </xf>
    <xf numFmtId="175" fontId="72" fillId="0" borderId="0" xfId="42" applyNumberFormat="1" applyFont="1" applyFill="1" applyAlignment="1">
      <alignment/>
    </xf>
    <xf numFmtId="175" fontId="72" fillId="0" borderId="0" xfId="42" applyNumberFormat="1" applyFont="1" applyFill="1" applyBorder="1" applyAlignment="1">
      <alignment/>
    </xf>
    <xf numFmtId="175" fontId="72" fillId="0" borderId="16" xfId="42" applyNumberFormat="1" applyFont="1" applyFill="1" applyBorder="1" applyAlignment="1">
      <alignment/>
    </xf>
    <xf numFmtId="0" fontId="66" fillId="0" borderId="0" xfId="0" applyFont="1" applyAlignment="1">
      <alignment horizontal="justify" wrapText="1"/>
    </xf>
    <xf numFmtId="0" fontId="72" fillId="0" borderId="0" xfId="0" applyFont="1" applyAlignment="1">
      <alignment/>
    </xf>
    <xf numFmtId="175" fontId="66" fillId="0" borderId="10" xfId="42" applyNumberFormat="1" applyFont="1" applyBorder="1" applyAlignment="1">
      <alignment/>
    </xf>
    <xf numFmtId="175" fontId="0" fillId="0" borderId="0" xfId="0" applyNumberFormat="1" applyFill="1" applyAlignment="1">
      <alignment/>
    </xf>
    <xf numFmtId="0" fontId="74" fillId="0" borderId="0" xfId="0" applyFont="1" applyAlignment="1">
      <alignment/>
    </xf>
    <xf numFmtId="10" fontId="0" fillId="0" borderId="0" xfId="64" applyNumberFormat="1" applyFont="1" applyFill="1" applyAlignment="1">
      <alignment/>
    </xf>
    <xf numFmtId="0" fontId="0" fillId="0" borderId="0" xfId="0" applyFill="1" applyAlignment="1">
      <alignment/>
    </xf>
    <xf numFmtId="0" fontId="65" fillId="0" borderId="0" xfId="0" applyFont="1" applyFill="1" applyAlignment="1">
      <alignment horizontal="center"/>
    </xf>
    <xf numFmtId="0" fontId="66" fillId="0" borderId="0" xfId="0" applyFont="1" applyFill="1" applyAlignment="1">
      <alignment/>
    </xf>
    <xf numFmtId="43" fontId="66" fillId="0" borderId="0" xfId="0" applyNumberFormat="1" applyFont="1" applyFill="1" applyAlignment="1">
      <alignment horizontal="right"/>
    </xf>
    <xf numFmtId="0" fontId="72" fillId="0" borderId="0" xfId="0" applyFont="1" applyAlignment="1">
      <alignment/>
    </xf>
    <xf numFmtId="0" fontId="0" fillId="0" borderId="0" xfId="0" applyAlignment="1">
      <alignment/>
    </xf>
    <xf numFmtId="0" fontId="7" fillId="0" borderId="0" xfId="0" applyFont="1" applyAlignment="1">
      <alignment/>
    </xf>
    <xf numFmtId="0" fontId="67" fillId="0" borderId="0" xfId="0" applyFont="1" applyFill="1" applyAlignment="1">
      <alignment/>
    </xf>
    <xf numFmtId="175" fontId="66" fillId="0" borderId="0" xfId="42" applyNumberFormat="1" applyFont="1" applyFill="1" applyAlignment="1">
      <alignment horizontal="right"/>
    </xf>
    <xf numFmtId="0" fontId="66" fillId="0" borderId="0" xfId="0" applyFont="1" applyFill="1" applyAlignment="1">
      <alignment horizontal="right"/>
    </xf>
    <xf numFmtId="175" fontId="66" fillId="0" borderId="0" xfId="42" applyNumberFormat="1" applyFont="1" applyFill="1" applyAlignment="1">
      <alignment/>
    </xf>
    <xf numFmtId="0" fontId="75" fillId="0" borderId="0" xfId="0" applyFont="1" applyFill="1" applyAlignment="1">
      <alignment/>
    </xf>
    <xf numFmtId="175" fontId="66" fillId="0" borderId="0" xfId="42" applyNumberFormat="1" applyFont="1" applyFill="1" applyBorder="1" applyAlignment="1">
      <alignment horizontal="right"/>
    </xf>
    <xf numFmtId="0" fontId="67" fillId="0" borderId="0" xfId="0" applyFont="1" applyFill="1" applyAlignment="1">
      <alignment horizontal="center"/>
    </xf>
    <xf numFmtId="0" fontId="64" fillId="0" borderId="0" xfId="0" applyFont="1" applyFill="1" applyAlignment="1">
      <alignment wrapText="1"/>
    </xf>
    <xf numFmtId="0" fontId="71" fillId="0" borderId="0" xfId="0" applyFont="1" applyAlignment="1">
      <alignment/>
    </xf>
    <xf numFmtId="0" fontId="0" fillId="0" borderId="0" xfId="0" applyAlignment="1">
      <alignment/>
    </xf>
    <xf numFmtId="0" fontId="76" fillId="0" borderId="0" xfId="0" applyNumberFormat="1" applyFont="1" applyAlignment="1">
      <alignment horizontal="center"/>
    </xf>
    <xf numFmtId="0" fontId="64" fillId="33" borderId="0" xfId="0" applyFont="1" applyFill="1" applyAlignment="1">
      <alignment wrapText="1"/>
    </xf>
    <xf numFmtId="0" fontId="64" fillId="34" borderId="0" xfId="0" applyFont="1" applyFill="1" applyAlignment="1">
      <alignment wrapText="1"/>
    </xf>
    <xf numFmtId="175" fontId="66" fillId="0" borderId="0" xfId="42" applyNumberFormat="1" applyFont="1" applyAlignment="1">
      <alignment/>
    </xf>
    <xf numFmtId="175" fontId="0" fillId="0" borderId="0" xfId="42" applyNumberFormat="1" applyFont="1" applyAlignment="1">
      <alignment/>
    </xf>
    <xf numFmtId="175" fontId="0" fillId="35" borderId="0" xfId="42" applyNumberFormat="1" applyFont="1" applyFill="1" applyAlignment="1">
      <alignment/>
    </xf>
    <xf numFmtId="175" fontId="0" fillId="36" borderId="0" xfId="42" applyNumberFormat="1" applyFont="1" applyFill="1" applyAlignment="1">
      <alignment/>
    </xf>
    <xf numFmtId="175" fontId="64" fillId="0" borderId="0" xfId="42" applyNumberFormat="1" applyFont="1" applyAlignment="1">
      <alignment wrapText="1"/>
    </xf>
    <xf numFmtId="175" fontId="66" fillId="0" borderId="13" xfId="42" applyNumberFormat="1" applyFont="1" applyBorder="1" applyAlignment="1">
      <alignment/>
    </xf>
    <xf numFmtId="175" fontId="66" fillId="0" borderId="14" xfId="42" applyNumberFormat="1" applyFont="1" applyBorder="1" applyAlignment="1">
      <alignment/>
    </xf>
    <xf numFmtId="175" fontId="76" fillId="0" borderId="0" xfId="42" applyNumberFormat="1" applyFont="1" applyAlignment="1">
      <alignment horizontal="center"/>
    </xf>
    <xf numFmtId="175" fontId="64" fillId="34" borderId="0" xfId="0" applyNumberFormat="1" applyFont="1" applyFill="1" applyAlignment="1">
      <alignment wrapText="1"/>
    </xf>
    <xf numFmtId="175" fontId="64" fillId="33" borderId="0" xfId="0" applyNumberFormat="1" applyFont="1" applyFill="1" applyAlignment="1">
      <alignment wrapText="1"/>
    </xf>
    <xf numFmtId="0" fontId="67" fillId="0" borderId="0" xfId="0" applyFont="1" applyAlignment="1">
      <alignment horizontal="center"/>
    </xf>
    <xf numFmtId="0" fontId="67" fillId="0" borderId="0" xfId="0" applyFont="1" applyAlignment="1">
      <alignment/>
    </xf>
    <xf numFmtId="16" fontId="67" fillId="0" borderId="0" xfId="0" applyNumberFormat="1" applyFont="1" applyFill="1" applyAlignment="1">
      <alignment horizontal="center"/>
    </xf>
    <xf numFmtId="0" fontId="67" fillId="0" borderId="0" xfId="0" applyFont="1" applyAlignment="1">
      <alignment/>
    </xf>
    <xf numFmtId="0" fontId="71" fillId="0" borderId="0" xfId="0" applyFont="1" applyAlignment="1">
      <alignment/>
    </xf>
    <xf numFmtId="0" fontId="72" fillId="0" borderId="0" xfId="0" applyFont="1" applyAlignment="1">
      <alignment/>
    </xf>
    <xf numFmtId="0" fontId="72" fillId="0" borderId="0" xfId="0" applyFont="1" applyBorder="1" applyAlignment="1">
      <alignment/>
    </xf>
    <xf numFmtId="0" fontId="72" fillId="0" borderId="0" xfId="0" applyFont="1" applyAlignment="1">
      <alignment/>
    </xf>
    <xf numFmtId="175" fontId="66" fillId="0" borderId="0" xfId="42" applyNumberFormat="1" applyFont="1" applyBorder="1" applyAlignment="1">
      <alignment/>
    </xf>
    <xf numFmtId="175" fontId="66" fillId="0" borderId="10" xfId="42" applyNumberFormat="1" applyFont="1" applyBorder="1" applyAlignment="1">
      <alignment/>
    </xf>
    <xf numFmtId="175" fontId="66" fillId="0" borderId="12" xfId="42" applyNumberFormat="1" applyFont="1" applyBorder="1" applyAlignment="1">
      <alignment horizontal="right"/>
    </xf>
    <xf numFmtId="0" fontId="8" fillId="0" borderId="0" xfId="0" applyFont="1" applyAlignment="1">
      <alignment/>
    </xf>
    <xf numFmtId="0" fontId="2" fillId="0" borderId="0" xfId="0" applyFont="1" applyAlignment="1">
      <alignment/>
    </xf>
    <xf numFmtId="175" fontId="66" fillId="0" borderId="0" xfId="42" applyNumberFormat="1" applyFont="1" applyBorder="1" applyAlignment="1">
      <alignment/>
    </xf>
    <xf numFmtId="43" fontId="66" fillId="0" borderId="0" xfId="42" applyFont="1" applyBorder="1" applyAlignment="1">
      <alignment horizontal="right"/>
    </xf>
    <xf numFmtId="37" fontId="2" fillId="0" borderId="0" xfId="0" applyNumberFormat="1" applyFont="1" applyBorder="1" applyAlignment="1">
      <alignment horizontal="center"/>
    </xf>
    <xf numFmtId="3" fontId="2" fillId="0" borderId="0" xfId="0" applyNumberFormat="1" applyFont="1" applyBorder="1" applyAlignment="1">
      <alignment horizontal="center"/>
    </xf>
    <xf numFmtId="175" fontId="66" fillId="0" borderId="17" xfId="42" applyNumberFormat="1" applyFont="1" applyBorder="1" applyAlignment="1">
      <alignment horizontal="right"/>
    </xf>
    <xf numFmtId="175" fontId="2" fillId="0" borderId="17" xfId="42" applyNumberFormat="1" applyFont="1" applyFill="1" applyBorder="1" applyAlignment="1">
      <alignment/>
    </xf>
    <xf numFmtId="43" fontId="2" fillId="0" borderId="12" xfId="42" applyFont="1" applyBorder="1" applyAlignment="1">
      <alignment/>
    </xf>
    <xf numFmtId="43" fontId="2" fillId="0" borderId="0" xfId="42" applyFont="1" applyAlignment="1">
      <alignment/>
    </xf>
    <xf numFmtId="175" fontId="2" fillId="0" borderId="0" xfId="42" applyNumberFormat="1" applyFont="1" applyAlignment="1">
      <alignment/>
    </xf>
    <xf numFmtId="175" fontId="2" fillId="0" borderId="17" xfId="42" applyNumberFormat="1" applyFont="1" applyBorder="1" applyAlignment="1">
      <alignment/>
    </xf>
    <xf numFmtId="175" fontId="2" fillId="0" borderId="0" xfId="42" applyNumberFormat="1" applyFont="1" applyBorder="1" applyAlignment="1">
      <alignment/>
    </xf>
    <xf numFmtId="175" fontId="2" fillId="0" borderId="12" xfId="42" applyNumberFormat="1" applyFont="1" applyBorder="1" applyAlignment="1">
      <alignment/>
    </xf>
    <xf numFmtId="0" fontId="77" fillId="0" borderId="0" xfId="0" applyFont="1" applyAlignment="1">
      <alignment/>
    </xf>
    <xf numFmtId="0" fontId="71" fillId="0" borderId="0" xfId="0" applyFont="1" applyAlignment="1">
      <alignment horizontal="center"/>
    </xf>
    <xf numFmtId="0" fontId="78" fillId="0" borderId="0" xfId="0" applyFont="1" applyAlignment="1">
      <alignment wrapText="1"/>
    </xf>
    <xf numFmtId="0" fontId="62" fillId="0" borderId="0" xfId="0" applyFont="1" applyAlignment="1">
      <alignment/>
    </xf>
    <xf numFmtId="175" fontId="62" fillId="0" borderId="0" xfId="42" applyNumberFormat="1" applyFont="1" applyAlignment="1">
      <alignment/>
    </xf>
    <xf numFmtId="0" fontId="66" fillId="0" borderId="0" xfId="42" applyNumberFormat="1" applyFont="1" applyAlignment="1">
      <alignment horizontal="justify" vertical="top"/>
    </xf>
    <xf numFmtId="15" fontId="2" fillId="0" borderId="0" xfId="0" applyNumberFormat="1" applyFont="1" applyAlignment="1">
      <alignment horizontal="right"/>
    </xf>
    <xf numFmtId="0" fontId="8" fillId="0" borderId="0" xfId="0" applyFont="1" applyAlignment="1">
      <alignment horizontal="right"/>
    </xf>
    <xf numFmtId="0" fontId="2" fillId="0" borderId="0" xfId="0" applyFont="1" applyAlignment="1">
      <alignment horizontal="left" vertical="top" wrapText="1"/>
    </xf>
    <xf numFmtId="0" fontId="62" fillId="0" borderId="12" xfId="0" applyFont="1" applyBorder="1" applyAlignment="1">
      <alignment/>
    </xf>
    <xf numFmtId="0" fontId="71" fillId="0" borderId="0" xfId="0" applyFont="1" applyAlignment="1">
      <alignment/>
    </xf>
    <xf numFmtId="0" fontId="72" fillId="0" borderId="0" xfId="0" applyFont="1" applyAlignment="1">
      <alignment/>
    </xf>
    <xf numFmtId="0" fontId="2" fillId="0" borderId="0" xfId="0" applyFont="1" applyFill="1" applyAlignment="1">
      <alignment/>
    </xf>
    <xf numFmtId="175" fontId="2" fillId="0" borderId="15" xfId="42" applyNumberFormat="1" applyFont="1" applyFill="1" applyBorder="1" applyAlignment="1">
      <alignment/>
    </xf>
    <xf numFmtId="0" fontId="66" fillId="0" borderId="0" xfId="0" applyFont="1" applyBorder="1" applyAlignment="1">
      <alignment/>
    </xf>
    <xf numFmtId="175" fontId="0" fillId="0" borderId="0" xfId="42" applyNumberFormat="1" applyFont="1" applyAlignment="1">
      <alignment/>
    </xf>
    <xf numFmtId="175" fontId="0" fillId="0" borderId="10" xfId="42" applyNumberFormat="1" applyFont="1" applyBorder="1" applyAlignment="1">
      <alignment/>
    </xf>
    <xf numFmtId="0" fontId="0" fillId="0" borderId="0" xfId="0" applyAlignment="1">
      <alignment vertical="top"/>
    </xf>
    <xf numFmtId="0" fontId="66" fillId="0" borderId="0" xfId="0" applyFont="1" applyAlignment="1">
      <alignment/>
    </xf>
    <xf numFmtId="0" fontId="66" fillId="0" borderId="0" xfId="0" applyFont="1" applyAlignment="1">
      <alignment horizontal="center"/>
    </xf>
    <xf numFmtId="0" fontId="66" fillId="0" borderId="0" xfId="0" applyFont="1" applyAlignment="1">
      <alignment vertical="top"/>
    </xf>
    <xf numFmtId="0" fontId="66" fillId="0" borderId="0" xfId="0" applyFont="1" applyAlignment="1">
      <alignment/>
    </xf>
    <xf numFmtId="175" fontId="66" fillId="0" borderId="16" xfId="42" applyNumberFormat="1" applyFont="1" applyBorder="1" applyAlignment="1">
      <alignment/>
    </xf>
    <xf numFmtId="175" fontId="66" fillId="0" borderId="0" xfId="42" applyNumberFormat="1" applyFont="1" applyAlignment="1">
      <alignment/>
    </xf>
    <xf numFmtId="0" fontId="77" fillId="0" borderId="0" xfId="0" applyFont="1" applyAlignment="1">
      <alignment vertical="top"/>
    </xf>
    <xf numFmtId="175" fontId="66" fillId="0" borderId="15" xfId="42" applyNumberFormat="1" applyFont="1" applyBorder="1" applyAlignment="1">
      <alignment/>
    </xf>
    <xf numFmtId="175" fontId="66" fillId="0" borderId="0" xfId="42" applyNumberFormat="1" applyFont="1" applyFill="1" applyAlignment="1">
      <alignment/>
    </xf>
    <xf numFmtId="175" fontId="66" fillId="0" borderId="0" xfId="42" applyNumberFormat="1" applyFont="1" applyBorder="1" applyAlignment="1">
      <alignment/>
    </xf>
    <xf numFmtId="175" fontId="66" fillId="0" borderId="10" xfId="42" applyNumberFormat="1" applyFont="1" applyBorder="1" applyAlignment="1">
      <alignment/>
    </xf>
    <xf numFmtId="175" fontId="66" fillId="0" borderId="15" xfId="42" applyNumberFormat="1" applyFont="1" applyFill="1" applyBorder="1" applyAlignment="1">
      <alignment/>
    </xf>
    <xf numFmtId="0" fontId="66" fillId="0" borderId="0" xfId="0" applyFont="1" applyAlignment="1">
      <alignment vertical="top" wrapText="1"/>
    </xf>
    <xf numFmtId="0" fontId="67" fillId="0" borderId="0" xfId="0" applyFont="1" applyAlignment="1">
      <alignment horizontal="center" vertical="top" wrapText="1"/>
    </xf>
    <xf numFmtId="0" fontId="66" fillId="0" borderId="0" xfId="0" applyFont="1" applyAlignment="1">
      <alignment horizontal="center" vertical="top"/>
    </xf>
    <xf numFmtId="0" fontId="66" fillId="0" borderId="0" xfId="0" applyFont="1" applyAlignment="1">
      <alignment vertical="top"/>
    </xf>
    <xf numFmtId="0" fontId="66" fillId="0" borderId="0" xfId="0" applyFont="1" applyFill="1" applyAlignment="1">
      <alignment/>
    </xf>
    <xf numFmtId="175" fontId="66" fillId="0" borderId="0" xfId="42" applyNumberFormat="1" applyFont="1" applyFill="1" applyAlignment="1">
      <alignment horizontal="right" vertical="top"/>
    </xf>
    <xf numFmtId="0" fontId="67" fillId="0" borderId="0" xfId="0" applyFont="1" applyAlignment="1">
      <alignment vertical="top"/>
    </xf>
    <xf numFmtId="0" fontId="67" fillId="0" borderId="0" xfId="0" applyFont="1" applyAlignment="1">
      <alignment vertical="top" wrapText="1"/>
    </xf>
    <xf numFmtId="175" fontId="66" fillId="0" borderId="10" xfId="42" applyNumberFormat="1" applyFont="1" applyBorder="1" applyAlignment="1">
      <alignment/>
    </xf>
    <xf numFmtId="175" fontId="66" fillId="0" borderId="10" xfId="42" applyNumberFormat="1" applyFont="1" applyFill="1" applyBorder="1" applyAlignment="1">
      <alignment horizontal="right" vertical="top"/>
    </xf>
    <xf numFmtId="175" fontId="66" fillId="0" borderId="15" xfId="42" applyNumberFormat="1" applyFont="1" applyBorder="1" applyAlignment="1">
      <alignment horizontal="right" vertical="top"/>
    </xf>
    <xf numFmtId="175" fontId="66" fillId="0" borderId="0" xfId="0" applyNumberFormat="1" applyFont="1" applyAlignment="1">
      <alignment/>
    </xf>
    <xf numFmtId="0" fontId="79" fillId="0" borderId="0" xfId="0" applyFont="1" applyAlignment="1">
      <alignment/>
    </xf>
    <xf numFmtId="15" fontId="66" fillId="0" borderId="0" xfId="0" applyNumberFormat="1" applyFont="1" applyFill="1" applyAlignment="1">
      <alignment/>
    </xf>
    <xf numFmtId="3" fontId="66" fillId="0" borderId="0" xfId="0" applyNumberFormat="1" applyFont="1" applyFill="1" applyAlignment="1">
      <alignment/>
    </xf>
    <xf numFmtId="0" fontId="66" fillId="0" borderId="0" xfId="0" applyFont="1" applyFill="1" applyAlignment="1">
      <alignment horizontal="right"/>
    </xf>
    <xf numFmtId="0" fontId="67" fillId="0" borderId="0" xfId="0" applyFont="1" applyFill="1" applyAlignment="1">
      <alignment vertical="top"/>
    </xf>
    <xf numFmtId="0" fontId="66" fillId="0" borderId="0" xfId="0" applyFont="1" applyFill="1" applyAlignment="1">
      <alignment vertical="top"/>
    </xf>
    <xf numFmtId="0" fontId="67" fillId="0" borderId="0" xfId="0" applyFont="1" applyFill="1" applyAlignment="1">
      <alignment horizontal="center" vertical="top" wrapText="1"/>
    </xf>
    <xf numFmtId="175" fontId="66" fillId="0" borderId="0" xfId="42" applyNumberFormat="1" applyFont="1" applyFill="1" applyAlignment="1">
      <alignment/>
    </xf>
    <xf numFmtId="175" fontId="66" fillId="0" borderId="15" xfId="42" applyNumberFormat="1" applyFont="1" applyFill="1" applyBorder="1" applyAlignment="1">
      <alignment horizontal="right"/>
    </xf>
    <xf numFmtId="175" fontId="66" fillId="0" borderId="15" xfId="0" applyNumberFormat="1" applyFont="1" applyFill="1" applyBorder="1" applyAlignment="1">
      <alignment/>
    </xf>
    <xf numFmtId="0" fontId="67" fillId="0" borderId="0" xfId="0" applyFont="1" applyAlignment="1">
      <alignment vertical="top"/>
    </xf>
    <xf numFmtId="0" fontId="67" fillId="0" borderId="0" xfId="0" applyFont="1" applyAlignment="1">
      <alignment horizontal="center" vertical="top" wrapText="1"/>
    </xf>
    <xf numFmtId="0" fontId="66" fillId="0" borderId="0" xfId="0" applyFont="1" applyAlignment="1" quotePrefix="1">
      <alignment/>
    </xf>
    <xf numFmtId="175" fontId="66" fillId="0" borderId="16" xfId="42" applyNumberFormat="1" applyFont="1" applyBorder="1" applyAlignment="1">
      <alignment/>
    </xf>
    <xf numFmtId="175" fontId="66" fillId="0" borderId="0" xfId="0" applyNumberFormat="1" applyFont="1" applyFill="1" applyAlignment="1">
      <alignment/>
    </xf>
    <xf numFmtId="0" fontId="2" fillId="0" borderId="0" xfId="0" applyFont="1" applyAlignment="1">
      <alignment horizontal="left"/>
    </xf>
    <xf numFmtId="0" fontId="66" fillId="0" borderId="0" xfId="0" applyFont="1" applyAlignment="1">
      <alignment horizontal="center" wrapText="1"/>
    </xf>
    <xf numFmtId="179" fontId="0" fillId="0" borderId="0" xfId="0" applyNumberFormat="1" applyAlignment="1">
      <alignment/>
    </xf>
    <xf numFmtId="175" fontId="0" fillId="0" borderId="18" xfId="42" applyNumberFormat="1" applyFont="1" applyBorder="1" applyAlignment="1">
      <alignment/>
    </xf>
    <xf numFmtId="175" fontId="0" fillId="0" borderId="17" xfId="42" applyNumberFormat="1" applyFont="1" applyBorder="1" applyAlignment="1">
      <alignment/>
    </xf>
    <xf numFmtId="175" fontId="0" fillId="0" borderId="19" xfId="0" applyNumberFormat="1" applyBorder="1" applyAlignment="1">
      <alignment/>
    </xf>
    <xf numFmtId="175" fontId="0" fillId="0" borderId="20" xfId="42" applyNumberFormat="1" applyFont="1" applyBorder="1" applyAlignment="1">
      <alignment/>
    </xf>
    <xf numFmtId="175" fontId="0" fillId="0" borderId="21" xfId="0" applyNumberFormat="1" applyBorder="1" applyAlignment="1">
      <alignment/>
    </xf>
    <xf numFmtId="175" fontId="0" fillId="0" borderId="16" xfId="42" applyNumberFormat="1" applyFont="1" applyBorder="1" applyAlignment="1">
      <alignment/>
    </xf>
    <xf numFmtId="43" fontId="0" fillId="0" borderId="0" xfId="42" applyFont="1" applyAlignment="1">
      <alignment/>
    </xf>
    <xf numFmtId="175" fontId="66" fillId="0" borderId="16" xfId="42" applyNumberFormat="1" applyFont="1" applyFill="1" applyBorder="1" applyAlignment="1">
      <alignment/>
    </xf>
    <xf numFmtId="0" fontId="67" fillId="0" borderId="0" xfId="0" applyFont="1" applyAlignment="1">
      <alignment horizontal="center"/>
    </xf>
    <xf numFmtId="0" fontId="72" fillId="0" borderId="0" xfId="0" applyFont="1" applyAlignment="1">
      <alignment/>
    </xf>
    <xf numFmtId="175" fontId="66" fillId="0" borderId="10" xfId="42" applyNumberFormat="1" applyFont="1" applyFill="1" applyBorder="1" applyAlignment="1">
      <alignment/>
    </xf>
    <xf numFmtId="175" fontId="66" fillId="0" borderId="15" xfId="42" applyNumberFormat="1" applyFont="1" applyFill="1" applyBorder="1" applyAlignment="1">
      <alignment horizontal="right" wrapText="1"/>
    </xf>
    <xf numFmtId="0" fontId="66" fillId="0" borderId="0" xfId="0" applyFont="1" applyFill="1" applyAlignment="1">
      <alignment/>
    </xf>
    <xf numFmtId="43" fontId="66" fillId="0" borderId="15" xfId="42" applyFont="1" applyFill="1" applyBorder="1" applyAlignment="1">
      <alignment/>
    </xf>
    <xf numFmtId="14" fontId="8" fillId="0" borderId="0" xfId="0" applyNumberFormat="1" applyFont="1" applyAlignment="1">
      <alignment horizontal="center"/>
    </xf>
    <xf numFmtId="0" fontId="67" fillId="0" borderId="0" xfId="0" applyFont="1" applyFill="1" applyAlignment="1">
      <alignment horizontal="left"/>
    </xf>
    <xf numFmtId="0" fontId="72" fillId="0" borderId="0" xfId="0" applyFont="1" applyAlignment="1" quotePrefix="1">
      <alignment/>
    </xf>
    <xf numFmtId="175" fontId="2" fillId="0" borderId="0" xfId="42" applyNumberFormat="1" applyFont="1" applyFill="1" applyBorder="1" applyAlignment="1">
      <alignment/>
    </xf>
    <xf numFmtId="0" fontId="66" fillId="0" borderId="0" xfId="0" applyFont="1" applyBorder="1" applyAlignment="1">
      <alignment/>
    </xf>
    <xf numFmtId="175" fontId="0" fillId="0" borderId="0" xfId="42" applyNumberFormat="1" applyFont="1" applyAlignment="1">
      <alignment/>
    </xf>
    <xf numFmtId="37" fontId="2" fillId="0" borderId="0" xfId="0" applyNumberFormat="1" applyFont="1" applyFill="1" applyBorder="1" applyAlignment="1">
      <alignment horizontal="center"/>
    </xf>
    <xf numFmtId="43" fontId="72" fillId="0" borderId="0" xfId="42" applyFont="1" applyAlignment="1">
      <alignment/>
    </xf>
    <xf numFmtId="43" fontId="72" fillId="33" borderId="0" xfId="42" applyFont="1" applyFill="1" applyAlignment="1">
      <alignment/>
    </xf>
    <xf numFmtId="0" fontId="72" fillId="33" borderId="0" xfId="0" applyFont="1" applyFill="1" applyAlignment="1">
      <alignment/>
    </xf>
    <xf numFmtId="43" fontId="0" fillId="33" borderId="0" xfId="0" applyNumberFormat="1" applyFill="1" applyAlignment="1">
      <alignment/>
    </xf>
    <xf numFmtId="43" fontId="72" fillId="34" borderId="0" xfId="42" applyFont="1" applyFill="1" applyAlignment="1">
      <alignment/>
    </xf>
    <xf numFmtId="0" fontId="72" fillId="34" borderId="0" xfId="0" applyFont="1" applyFill="1" applyAlignment="1">
      <alignment/>
    </xf>
    <xf numFmtId="43" fontId="0" fillId="34" borderId="0" xfId="0" applyNumberFormat="1" applyFill="1" applyAlignment="1">
      <alignment/>
    </xf>
    <xf numFmtId="43" fontId="72" fillId="37" borderId="0" xfId="42" applyFont="1" applyFill="1" applyAlignment="1">
      <alignment/>
    </xf>
    <xf numFmtId="0" fontId="72" fillId="37" borderId="0" xfId="0" applyFont="1" applyFill="1" applyAlignment="1">
      <alignment/>
    </xf>
    <xf numFmtId="43" fontId="0" fillId="37" borderId="0" xfId="0" applyNumberFormat="1" applyFill="1" applyAlignment="1">
      <alignment/>
    </xf>
    <xf numFmtId="43" fontId="72" fillId="16" borderId="0" xfId="42" applyFont="1" applyFill="1" applyAlignment="1">
      <alignment/>
    </xf>
    <xf numFmtId="0" fontId="72" fillId="16" borderId="0" xfId="0" applyFont="1" applyFill="1" applyAlignment="1">
      <alignment/>
    </xf>
    <xf numFmtId="43" fontId="0" fillId="16" borderId="0" xfId="0" applyNumberFormat="1" applyFill="1" applyAlignment="1">
      <alignment/>
    </xf>
    <xf numFmtId="43" fontId="72" fillId="11" borderId="0" xfId="42" applyFont="1" applyFill="1" applyAlignment="1">
      <alignment/>
    </xf>
    <xf numFmtId="0" fontId="0" fillId="11" borderId="0" xfId="0" applyFill="1" applyAlignment="1">
      <alignment/>
    </xf>
    <xf numFmtId="43" fontId="0" fillId="11" borderId="0" xfId="0" applyNumberFormat="1" applyFill="1" applyAlignment="1">
      <alignment/>
    </xf>
    <xf numFmtId="9" fontId="0" fillId="0" borderId="0" xfId="64" applyFont="1" applyAlignment="1">
      <alignment/>
    </xf>
    <xf numFmtId="0" fontId="67" fillId="0" borderId="0" xfId="0" applyFont="1" applyFill="1" applyAlignment="1">
      <alignment/>
    </xf>
    <xf numFmtId="0" fontId="67" fillId="0" borderId="0" xfId="0" applyFont="1" applyAlignment="1">
      <alignment horizontal="center"/>
    </xf>
    <xf numFmtId="0" fontId="71" fillId="0" borderId="0" xfId="0" applyFont="1" applyAlignment="1">
      <alignment/>
    </xf>
    <xf numFmtId="0" fontId="72" fillId="0" borderId="0" xfId="0" applyFont="1" applyAlignment="1">
      <alignment/>
    </xf>
    <xf numFmtId="0" fontId="2" fillId="0" borderId="0" xfId="0" applyFont="1" applyAlignment="1">
      <alignment horizontal="left" vertical="top"/>
    </xf>
    <xf numFmtId="175" fontId="10" fillId="0" borderId="0" xfId="42" applyNumberFormat="1" applyFont="1" applyFill="1" applyAlignment="1">
      <alignment/>
    </xf>
    <xf numFmtId="175" fontId="10" fillId="0" borderId="10" xfId="42" applyNumberFormat="1" applyFont="1" applyFill="1" applyBorder="1" applyAlignment="1">
      <alignment/>
    </xf>
    <xf numFmtId="175" fontId="10" fillId="0" borderId="22" xfId="42" applyNumberFormat="1" applyFont="1" applyFill="1" applyBorder="1" applyAlignment="1">
      <alignment/>
    </xf>
    <xf numFmtId="175" fontId="10" fillId="0" borderId="14" xfId="42" applyNumberFormat="1" applyFont="1" applyFill="1" applyBorder="1" applyAlignment="1">
      <alignment/>
    </xf>
    <xf numFmtId="175" fontId="66" fillId="0" borderId="15" xfId="42" applyNumberFormat="1" applyFont="1" applyBorder="1" applyAlignment="1">
      <alignment/>
    </xf>
    <xf numFmtId="0" fontId="66" fillId="0" borderId="0" xfId="0" applyFont="1" applyBorder="1" applyAlignment="1">
      <alignment/>
    </xf>
    <xf numFmtId="175" fontId="66" fillId="0" borderId="0" xfId="0" applyNumberFormat="1" applyFont="1" applyBorder="1" applyAlignment="1">
      <alignment/>
    </xf>
    <xf numFmtId="15" fontId="67" fillId="0" borderId="0" xfId="0" applyNumberFormat="1" applyFont="1" applyAlignment="1" quotePrefix="1">
      <alignment horizontal="center"/>
    </xf>
    <xf numFmtId="175" fontId="66" fillId="0" borderId="0" xfId="42" applyNumberFormat="1" applyFont="1" applyFill="1" applyAlignment="1">
      <alignment/>
    </xf>
    <xf numFmtId="175" fontId="66" fillId="0" borderId="10" xfId="42" applyNumberFormat="1" applyFont="1" applyFill="1" applyBorder="1" applyAlignment="1">
      <alignment/>
    </xf>
    <xf numFmtId="175" fontId="66" fillId="0" borderId="12" xfId="42" applyNumberFormat="1" applyFont="1" applyFill="1" applyBorder="1" applyAlignment="1">
      <alignment horizontal="right"/>
    </xf>
    <xf numFmtId="175" fontId="66" fillId="0" borderId="0" xfId="42" applyNumberFormat="1" applyFont="1" applyFill="1" applyBorder="1" applyAlignment="1">
      <alignment/>
    </xf>
    <xf numFmtId="175" fontId="66" fillId="0" borderId="17" xfId="42" applyNumberFormat="1" applyFont="1" applyFill="1" applyBorder="1" applyAlignment="1">
      <alignment horizontal="right"/>
    </xf>
    <xf numFmtId="175" fontId="2" fillId="0" borderId="12" xfId="42" applyNumberFormat="1" applyFont="1" applyFill="1" applyBorder="1" applyAlignment="1">
      <alignment/>
    </xf>
    <xf numFmtId="43" fontId="2" fillId="0" borderId="0" xfId="42" applyFont="1" applyFill="1" applyAlignment="1">
      <alignment/>
    </xf>
    <xf numFmtId="43" fontId="2" fillId="0" borderId="12" xfId="42" applyFont="1" applyFill="1" applyBorder="1" applyAlignment="1">
      <alignment/>
    </xf>
    <xf numFmtId="43" fontId="66" fillId="0" borderId="0" xfId="42" applyFont="1" applyFill="1" applyBorder="1" applyAlignment="1">
      <alignment horizontal="right"/>
    </xf>
    <xf numFmtId="9" fontId="66" fillId="0" borderId="0" xfId="64" applyFont="1" applyBorder="1" applyAlignment="1">
      <alignment horizontal="right"/>
    </xf>
    <xf numFmtId="9" fontId="66" fillId="0" borderId="0" xfId="64" applyFont="1" applyAlignment="1">
      <alignment horizontal="right"/>
    </xf>
    <xf numFmtId="175" fontId="66" fillId="0" borderId="16" xfId="42" applyNumberFormat="1" applyFont="1" applyFill="1" applyBorder="1" applyAlignment="1">
      <alignment/>
    </xf>
    <xf numFmtId="0" fontId="67" fillId="0" borderId="0" xfId="0" applyFont="1" applyFill="1" applyAlignment="1">
      <alignment horizontal="center"/>
    </xf>
    <xf numFmtId="41" fontId="72" fillId="0" borderId="0" xfId="42" applyNumberFormat="1" applyFont="1" applyAlignment="1">
      <alignment horizontal="right"/>
    </xf>
    <xf numFmtId="41" fontId="72" fillId="0" borderId="0" xfId="42" applyNumberFormat="1" applyFont="1" applyFill="1" applyAlignment="1">
      <alignment horizontal="right"/>
    </xf>
    <xf numFmtId="41" fontId="72" fillId="0" borderId="10" xfId="42" applyNumberFormat="1" applyFont="1" applyBorder="1" applyAlignment="1">
      <alignment horizontal="right"/>
    </xf>
    <xf numFmtId="41" fontId="0" fillId="0" borderId="0" xfId="0" applyNumberFormat="1" applyAlignment="1">
      <alignment/>
    </xf>
    <xf numFmtId="41" fontId="72" fillId="0" borderId="0" xfId="42" applyNumberFormat="1" applyFont="1" applyFill="1" applyAlignment="1">
      <alignment/>
    </xf>
    <xf numFmtId="41" fontId="72" fillId="0" borderId="15" xfId="42" applyNumberFormat="1" applyFont="1" applyBorder="1" applyAlignment="1">
      <alignment horizontal="right"/>
    </xf>
    <xf numFmtId="41" fontId="72" fillId="0" borderId="0" xfId="42" applyNumberFormat="1" applyFont="1" applyAlignment="1">
      <alignment/>
    </xf>
    <xf numFmtId="41" fontId="72" fillId="0" borderId="16" xfId="42" applyNumberFormat="1" applyFont="1" applyBorder="1" applyAlignment="1">
      <alignment horizontal="right"/>
    </xf>
    <xf numFmtId="41" fontId="66" fillId="0" borderId="0" xfId="42" applyNumberFormat="1" applyFont="1" applyFill="1" applyAlignment="1">
      <alignment horizontal="right"/>
    </xf>
    <xf numFmtId="41" fontId="66" fillId="0" borderId="0" xfId="0" applyNumberFormat="1" applyFont="1" applyFill="1" applyAlignment="1">
      <alignment horizontal="right"/>
    </xf>
    <xf numFmtId="41" fontId="66" fillId="0" borderId="10" xfId="42" applyNumberFormat="1" applyFont="1" applyFill="1" applyBorder="1" applyAlignment="1">
      <alignment horizontal="right"/>
    </xf>
    <xf numFmtId="41" fontId="66" fillId="0" borderId="0" xfId="42" applyNumberFormat="1" applyFont="1" applyFill="1" applyAlignment="1">
      <alignment/>
    </xf>
    <xf numFmtId="41" fontId="67" fillId="0" borderId="16" xfId="42" applyNumberFormat="1" applyFont="1" applyFill="1" applyBorder="1" applyAlignment="1">
      <alignment horizontal="right"/>
    </xf>
    <xf numFmtId="41" fontId="67" fillId="0" borderId="0" xfId="0" applyNumberFormat="1" applyFont="1" applyFill="1" applyAlignment="1">
      <alignment horizontal="right"/>
    </xf>
    <xf numFmtId="41" fontId="80" fillId="0" borderId="0" xfId="42" applyNumberFormat="1" applyFont="1" applyFill="1" applyAlignment="1">
      <alignment/>
    </xf>
    <xf numFmtId="41" fontId="80" fillId="0" borderId="0" xfId="0" applyNumberFormat="1" applyFont="1" applyFill="1" applyAlignment="1">
      <alignment horizontal="right"/>
    </xf>
    <xf numFmtId="41" fontId="66" fillId="0" borderId="0" xfId="42" applyNumberFormat="1" applyFont="1" applyFill="1" applyBorder="1" applyAlignment="1">
      <alignment horizontal="right"/>
    </xf>
    <xf numFmtId="41" fontId="66" fillId="0" borderId="23" xfId="42" applyNumberFormat="1" applyFont="1" applyFill="1" applyBorder="1" applyAlignment="1">
      <alignment horizontal="right"/>
    </xf>
    <xf numFmtId="41" fontId="66" fillId="0" borderId="0" xfId="0" applyNumberFormat="1" applyFont="1" applyFill="1" applyBorder="1" applyAlignment="1">
      <alignment horizontal="right"/>
    </xf>
    <xf numFmtId="41" fontId="66" fillId="0" borderId="0" xfId="0" applyNumberFormat="1" applyFont="1" applyFill="1" applyAlignment="1">
      <alignment/>
    </xf>
    <xf numFmtId="41" fontId="67" fillId="0" borderId="0" xfId="0" applyNumberFormat="1" applyFont="1" applyFill="1" applyAlignment="1">
      <alignment horizontal="center"/>
    </xf>
    <xf numFmtId="175" fontId="72" fillId="0" borderId="10" xfId="42" applyNumberFormat="1" applyFont="1" applyFill="1" applyBorder="1" applyAlignment="1">
      <alignment/>
    </xf>
    <xf numFmtId="175" fontId="72" fillId="0" borderId="13" xfId="42" applyNumberFormat="1" applyFont="1" applyFill="1" applyBorder="1" applyAlignment="1">
      <alignment/>
    </xf>
    <xf numFmtId="175" fontId="72" fillId="0" borderId="22" xfId="42" applyNumberFormat="1" applyFont="1" applyFill="1" applyBorder="1" applyAlignment="1">
      <alignment/>
    </xf>
    <xf numFmtId="175" fontId="72" fillId="0" borderId="14" xfId="42" applyNumberFormat="1" applyFont="1" applyFill="1" applyBorder="1" applyAlignment="1">
      <alignment/>
    </xf>
    <xf numFmtId="175" fontId="72" fillId="0" borderId="15" xfId="42" applyNumberFormat="1" applyFont="1" applyFill="1" applyBorder="1" applyAlignment="1">
      <alignment/>
    </xf>
    <xf numFmtId="0" fontId="67" fillId="0" borderId="0" xfId="0" applyFont="1" applyAlignment="1">
      <alignment horizontal="left"/>
    </xf>
    <xf numFmtId="0" fontId="67" fillId="0" borderId="0" xfId="0" applyFont="1" applyAlignment="1">
      <alignment horizontal="center"/>
    </xf>
    <xf numFmtId="0" fontId="67" fillId="0" borderId="0" xfId="0" applyFont="1" applyAlignment="1">
      <alignment/>
    </xf>
    <xf numFmtId="0" fontId="67" fillId="0" borderId="0" xfId="0" applyFont="1" applyAlignment="1">
      <alignment horizontal="center" vertical="top"/>
    </xf>
    <xf numFmtId="0" fontId="67" fillId="0" borderId="0" xfId="0" applyFont="1" applyAlignment="1">
      <alignment horizontal="center" wrapText="1"/>
    </xf>
    <xf numFmtId="0" fontId="66" fillId="0" borderId="0" xfId="0" applyFont="1" applyAlignment="1">
      <alignment horizontal="justify" vertical="top" wrapText="1"/>
    </xf>
    <xf numFmtId="0" fontId="67" fillId="0" borderId="0" xfId="0" applyFont="1" applyFill="1" applyAlignment="1">
      <alignment horizontal="center" wrapText="1"/>
    </xf>
    <xf numFmtId="175" fontId="66" fillId="0" borderId="0" xfId="42" applyNumberFormat="1" applyFont="1" applyFill="1" applyBorder="1" applyAlignment="1">
      <alignment/>
    </xf>
    <xf numFmtId="175" fontId="66" fillId="0" borderId="15" xfId="42" applyNumberFormat="1" applyFont="1" applyFill="1" applyBorder="1" applyAlignment="1">
      <alignment/>
    </xf>
    <xf numFmtId="0" fontId="67" fillId="0" borderId="0" xfId="0" applyFont="1" applyBorder="1" applyAlignment="1">
      <alignment horizontal="center"/>
    </xf>
    <xf numFmtId="0" fontId="67" fillId="0" borderId="0" xfId="0" applyFont="1" applyBorder="1" applyAlignment="1">
      <alignment/>
    </xf>
    <xf numFmtId="0" fontId="66" fillId="0" borderId="0" xfId="0" applyFont="1" applyBorder="1" applyAlignment="1">
      <alignment horizontal="center"/>
    </xf>
    <xf numFmtId="43" fontId="2" fillId="0" borderId="0" xfId="42" applyFont="1" applyFill="1" applyBorder="1" applyAlignment="1">
      <alignment/>
    </xf>
    <xf numFmtId="43" fontId="2" fillId="0" borderId="0" xfId="42" applyFont="1" applyBorder="1" applyAlignment="1">
      <alignment/>
    </xf>
    <xf numFmtId="0" fontId="2" fillId="0" borderId="0" xfId="0" applyFont="1" applyBorder="1" applyAlignment="1">
      <alignment/>
    </xf>
    <xf numFmtId="0" fontId="71" fillId="0" borderId="0" xfId="0" applyFont="1" applyAlignment="1" quotePrefix="1">
      <alignment/>
    </xf>
    <xf numFmtId="15" fontId="66" fillId="0" borderId="0" xfId="0" applyNumberFormat="1" applyFont="1" applyAlignment="1" quotePrefix="1">
      <alignment horizontal="right"/>
    </xf>
    <xf numFmtId="15" fontId="2" fillId="0" borderId="0" xfId="0" applyNumberFormat="1" applyFont="1" applyAlignment="1" quotePrefix="1">
      <alignment horizontal="right" vertical="top"/>
    </xf>
    <xf numFmtId="0" fontId="2" fillId="0" borderId="0" xfId="0" applyFont="1" applyAlignment="1" quotePrefix="1">
      <alignment horizontal="right" vertical="top" wrapText="1"/>
    </xf>
    <xf numFmtId="0" fontId="8" fillId="0" borderId="0" xfId="0" applyFont="1" applyAlignment="1">
      <alignment horizontal="left" vertical="top"/>
    </xf>
    <xf numFmtId="0" fontId="66" fillId="0" borderId="0" xfId="0" applyFont="1" applyFill="1" applyAlignment="1">
      <alignment horizontal="center" vertical="top"/>
    </xf>
    <xf numFmtId="175" fontId="66" fillId="0" borderId="0" xfId="42" applyNumberFormat="1" applyFont="1" applyFill="1" applyAlignment="1">
      <alignment horizontal="right" vertical="top"/>
    </xf>
    <xf numFmtId="175" fontId="66" fillId="0" borderId="10" xfId="42" applyNumberFormat="1" applyFont="1" applyFill="1" applyBorder="1" applyAlignment="1">
      <alignment horizontal="center" vertical="top"/>
    </xf>
    <xf numFmtId="175" fontId="66" fillId="0" borderId="15" xfId="42" applyNumberFormat="1" applyFont="1" applyFill="1" applyBorder="1" applyAlignment="1">
      <alignment horizontal="right" vertical="top"/>
    </xf>
    <xf numFmtId="0" fontId="72" fillId="0" borderId="0" xfId="0" applyFont="1" applyAlignment="1">
      <alignment/>
    </xf>
    <xf numFmtId="0" fontId="0" fillId="0" borderId="0" xfId="0" applyFill="1" applyBorder="1" applyAlignment="1">
      <alignment/>
    </xf>
    <xf numFmtId="175" fontId="66" fillId="0" borderId="0" xfId="42" applyNumberFormat="1" applyFont="1" applyFill="1" applyBorder="1" applyAlignment="1">
      <alignment/>
    </xf>
    <xf numFmtId="175" fontId="66" fillId="0" borderId="10" xfId="42" applyNumberFormat="1" applyFont="1" applyFill="1" applyBorder="1" applyAlignment="1">
      <alignment/>
    </xf>
    <xf numFmtId="175" fontId="66" fillId="0" borderId="10" xfId="42" applyNumberFormat="1" applyFont="1" applyFill="1" applyBorder="1" applyAlignment="1">
      <alignment horizontal="right" vertical="top"/>
    </xf>
    <xf numFmtId="175" fontId="2" fillId="0" borderId="0" xfId="42" applyNumberFormat="1" applyFont="1" applyFill="1" applyAlignment="1">
      <alignment horizontal="right" vertical="top"/>
    </xf>
    <xf numFmtId="43" fontId="66" fillId="0" borderId="0" xfId="0" applyNumberFormat="1" applyFont="1" applyFill="1" applyAlignment="1">
      <alignment/>
    </xf>
    <xf numFmtId="0" fontId="73" fillId="0" borderId="0" xfId="0" applyFont="1" applyAlignment="1">
      <alignment horizontal="center"/>
    </xf>
    <xf numFmtId="0" fontId="69" fillId="0" borderId="0" xfId="0" applyFont="1" applyAlignment="1">
      <alignment horizontal="center"/>
    </xf>
    <xf numFmtId="0" fontId="66" fillId="0" borderId="0" xfId="0" applyFont="1" applyFill="1" applyBorder="1" applyAlignment="1">
      <alignment horizontal="justify" vertical="top" wrapText="1"/>
    </xf>
    <xf numFmtId="0" fontId="66" fillId="0" borderId="12" xfId="0" applyFont="1" applyFill="1" applyBorder="1" applyAlignment="1">
      <alignment horizontal="justify" vertical="top" wrapText="1"/>
    </xf>
    <xf numFmtId="0" fontId="66" fillId="0" borderId="0" xfId="0" applyFont="1" applyFill="1" applyAlignment="1">
      <alignment horizontal="justify" wrapText="1"/>
    </xf>
    <xf numFmtId="0" fontId="67" fillId="0" borderId="0" xfId="0" applyFont="1" applyAlignment="1">
      <alignment horizontal="left"/>
    </xf>
    <xf numFmtId="0" fontId="67" fillId="0" borderId="0" xfId="0" applyFont="1" applyAlignment="1">
      <alignment horizontal="center"/>
    </xf>
    <xf numFmtId="0" fontId="67" fillId="0" borderId="0" xfId="0" applyFont="1" applyBorder="1" applyAlignment="1">
      <alignment horizontal="center"/>
    </xf>
    <xf numFmtId="0" fontId="67" fillId="0" borderId="0" xfId="0" applyFont="1" applyAlignment="1">
      <alignment/>
    </xf>
    <xf numFmtId="0" fontId="66" fillId="0" borderId="0" xfId="0" applyFont="1" applyBorder="1" applyAlignment="1">
      <alignment wrapText="1"/>
    </xf>
    <xf numFmtId="0" fontId="66" fillId="0" borderId="12" xfId="0" applyFont="1" applyBorder="1" applyAlignment="1">
      <alignment wrapText="1"/>
    </xf>
    <xf numFmtId="0" fontId="72" fillId="0" borderId="0" xfId="0" applyFont="1" applyAlignment="1" quotePrefix="1">
      <alignment horizontal="center"/>
    </xf>
    <xf numFmtId="0" fontId="72" fillId="0" borderId="0" xfId="0" applyFont="1" applyAlignment="1">
      <alignment horizontal="center"/>
    </xf>
    <xf numFmtId="0" fontId="71" fillId="0" borderId="0" xfId="0" applyFont="1" applyAlignment="1">
      <alignment/>
    </xf>
    <xf numFmtId="0" fontId="72" fillId="0" borderId="0" xfId="0" applyFont="1" applyBorder="1" applyAlignment="1">
      <alignment wrapText="1"/>
    </xf>
    <xf numFmtId="0" fontId="5" fillId="0" borderId="0" xfId="0" applyFont="1" applyBorder="1" applyAlignment="1" quotePrefix="1">
      <alignment horizontal="center"/>
    </xf>
    <xf numFmtId="0" fontId="5" fillId="0" borderId="0" xfId="0" applyFont="1" applyBorder="1" applyAlignment="1">
      <alignment horizontal="center"/>
    </xf>
    <xf numFmtId="0" fontId="71" fillId="0" borderId="0" xfId="0" applyFont="1" applyAlignment="1">
      <alignment/>
    </xf>
    <xf numFmtId="0" fontId="66" fillId="0" borderId="0" xfId="0" applyFont="1" applyAlignment="1">
      <alignment horizontal="justify" wrapText="1"/>
    </xf>
    <xf numFmtId="0" fontId="66" fillId="0" borderId="0" xfId="0" applyFont="1" applyAlignment="1">
      <alignment horizontal="justify" vertical="top" wrapText="1"/>
    </xf>
    <xf numFmtId="0" fontId="2" fillId="0" borderId="0" xfId="0" applyFont="1" applyAlignment="1">
      <alignment horizontal="left" vertical="top" wrapText="1"/>
    </xf>
    <xf numFmtId="0" fontId="2" fillId="0" borderId="0" xfId="0" applyFont="1" applyAlignment="1">
      <alignment horizontal="left" vertical="top"/>
    </xf>
    <xf numFmtId="0" fontId="9" fillId="0" borderId="0" xfId="0" applyFont="1" applyAlignment="1">
      <alignment horizontal="center"/>
    </xf>
    <xf numFmtId="0" fontId="67" fillId="0" borderId="0" xfId="0" applyFont="1" applyAlignment="1">
      <alignment horizontal="center" wrapText="1"/>
    </xf>
    <xf numFmtId="0" fontId="66" fillId="0" borderId="0" xfId="0" applyFont="1" applyFill="1" applyAlignment="1">
      <alignment vertical="top" wrapText="1"/>
    </xf>
    <xf numFmtId="0" fontId="66" fillId="0" borderId="0" xfId="0" applyFont="1" applyFill="1" applyAlignment="1">
      <alignment horizontal="justify" wrapText="1"/>
    </xf>
    <xf numFmtId="0" fontId="2" fillId="0" borderId="0" xfId="0" applyFont="1" applyFill="1" applyAlignment="1">
      <alignment horizontal="left" vertical="top"/>
    </xf>
    <xf numFmtId="0" fontId="81" fillId="0" borderId="0" xfId="0" applyFont="1" applyAlignment="1">
      <alignment horizontal="center"/>
    </xf>
    <xf numFmtId="0" fontId="67" fillId="0" borderId="0" xfId="0" applyFont="1" applyFill="1" applyAlignment="1">
      <alignment horizontal="center" wrapText="1"/>
    </xf>
    <xf numFmtId="0" fontId="66" fillId="0" borderId="0" xfId="0" applyFont="1" applyFill="1" applyAlignment="1">
      <alignment horizontal="justify" vertical="top" wrapText="1"/>
    </xf>
    <xf numFmtId="0" fontId="81" fillId="0" borderId="0" xfId="0" applyFont="1" applyAlignment="1">
      <alignment horizontal="center" wrapText="1"/>
    </xf>
    <xf numFmtId="0" fontId="81" fillId="0" borderId="0" xfId="0" applyFont="1" applyAlignment="1">
      <alignment horizontal="center" vertical="top"/>
    </xf>
    <xf numFmtId="0" fontId="67" fillId="0" borderId="0" xfId="0" applyFont="1" applyAlignment="1">
      <alignment horizontal="center" vertical="top"/>
    </xf>
    <xf numFmtId="0" fontId="82" fillId="0" borderId="0" xfId="0" applyFont="1" applyAlignment="1">
      <alignment horizontal="left" vertical="top" wrapText="1"/>
    </xf>
    <xf numFmtId="0" fontId="66" fillId="0" borderId="0" xfId="0" applyFont="1" applyFill="1" applyAlignment="1">
      <alignment horizontal="left" vertical="top" wrapText="1"/>
    </xf>
    <xf numFmtId="0" fontId="77" fillId="0" borderId="0" xfId="0" applyFont="1" applyAlignment="1">
      <alignment horizontal="center"/>
    </xf>
    <xf numFmtId="0" fontId="83" fillId="0" borderId="0" xfId="0" applyFont="1" applyAlignment="1">
      <alignment horizontal="center"/>
    </xf>
    <xf numFmtId="0" fontId="84" fillId="0" borderId="0" xfId="0" applyFont="1" applyAlignment="1">
      <alignment horizontal="center"/>
    </xf>
    <xf numFmtId="0" fontId="66" fillId="0" borderId="0" xfId="42" applyNumberFormat="1" applyFont="1" applyAlignment="1">
      <alignment horizontal="justify" vertical="top" wrapText="1"/>
    </xf>
    <xf numFmtId="0" fontId="11" fillId="33" borderId="0" xfId="0" applyFont="1" applyFill="1" applyAlignment="1">
      <alignment horizontal="justify" vertical="top" wrapText="1"/>
    </xf>
    <xf numFmtId="0" fontId="11" fillId="0" borderId="0" xfId="0" applyFont="1" applyFill="1" applyAlignment="1">
      <alignment horizontal="justify" vertical="top" wrapText="1"/>
    </xf>
    <xf numFmtId="0" fontId="66" fillId="0" borderId="0" xfId="0" applyFont="1" applyAlignment="1">
      <alignment horizontal="left" wrapText="1"/>
    </xf>
    <xf numFmtId="0" fontId="72" fillId="0" borderId="0" xfId="0" applyFont="1" applyBorder="1" applyAlignment="1">
      <alignment horizontal="justify"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7" xfId="59"/>
    <cellStyle name="Normal 5" xfId="60"/>
    <cellStyle name="Normal 5 2" xfId="61"/>
    <cellStyle name="Note" xfId="62"/>
    <cellStyle name="Output" xfId="63"/>
    <cellStyle name="Percent" xfId="64"/>
    <cellStyle name="Percent 2"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jgt-svr\JBLAU\CWH%204Q20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IS"/>
      <sheetName val="EQ"/>
      <sheetName val="GT_Custom"/>
      <sheetName val="CF"/>
      <sheetName val="Notes"/>
    </sheetNames>
    <sheetDataSet>
      <sheetData sheetId="0">
        <row r="18">
          <cell r="C18">
            <v>140</v>
          </cell>
        </row>
        <row r="19">
          <cell r="C19">
            <v>3094</v>
          </cell>
        </row>
        <row r="20">
          <cell r="C20">
            <v>191527</v>
          </cell>
        </row>
        <row r="27">
          <cell r="C27">
            <v>527368</v>
          </cell>
        </row>
        <row r="39">
          <cell r="C39">
            <v>12598</v>
          </cell>
        </row>
        <row r="45">
          <cell r="C45">
            <v>107939</v>
          </cell>
        </row>
        <row r="48">
          <cell r="C48">
            <v>215117</v>
          </cell>
        </row>
      </sheetData>
      <sheetData sheetId="1">
        <row r="16">
          <cell r="F16">
            <v>502587</v>
          </cell>
          <cell r="H16">
            <v>404033</v>
          </cell>
        </row>
        <row r="30">
          <cell r="H30">
            <v>-2895</v>
          </cell>
        </row>
        <row r="32">
          <cell r="F32">
            <v>52374</v>
          </cell>
          <cell r="H32">
            <v>18946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4.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FF00"/>
  </sheetPr>
  <dimension ref="A1:V55"/>
  <sheetViews>
    <sheetView view="pageBreakPreview" zoomScaleSheetLayoutView="100" workbookViewId="0" topLeftCell="A1">
      <selection activeCell="B21" sqref="B21"/>
    </sheetView>
  </sheetViews>
  <sheetFormatPr defaultColWidth="9.00390625" defaultRowHeight="15.75"/>
  <cols>
    <col min="1" max="1" width="16.625" style="0" customWidth="1"/>
    <col min="2" max="2" width="42.50390625" style="0" customWidth="1"/>
    <col min="3" max="3" width="12.625" style="46" customWidth="1"/>
    <col min="4" max="4" width="2.50390625" style="0" customWidth="1"/>
    <col min="5" max="5" width="12.625" style="0" customWidth="1"/>
    <col min="6" max="6" width="9.00390625" style="0" hidden="1" customWidth="1"/>
    <col min="7" max="8" width="8.25390625" style="0" hidden="1" customWidth="1"/>
    <col min="9" max="9" width="11.875" style="0" hidden="1" customWidth="1"/>
    <col min="10" max="10" width="9.25390625" style="0" hidden="1" customWidth="1"/>
    <col min="11" max="11" width="9.00390625" style="0" hidden="1" customWidth="1"/>
    <col min="12" max="12" width="7.375" style="0" hidden="1" customWidth="1"/>
    <col min="13" max="13" width="9.125" style="0" hidden="1" customWidth="1"/>
    <col min="14" max="14" width="8.50390625" style="0" hidden="1" customWidth="1"/>
    <col min="15" max="16" width="9.00390625" style="0" hidden="1" customWidth="1"/>
    <col min="17" max="17" width="9.00390625" style="0" customWidth="1"/>
    <col min="18" max="18" width="0" style="0" hidden="1" customWidth="1"/>
    <col min="19" max="19" width="11.625" style="195" hidden="1" customWidth="1"/>
    <col min="20" max="20" width="9.875" style="195" hidden="1" customWidth="1"/>
  </cols>
  <sheetData>
    <row r="1" spans="1:4" ht="19.5" customHeight="1">
      <c r="A1" s="6"/>
      <c r="B1" s="6"/>
      <c r="C1" s="61"/>
      <c r="D1" s="6"/>
    </row>
    <row r="2" spans="1:6" ht="15.75" customHeight="1">
      <c r="A2" s="6"/>
      <c r="B2" s="297" t="s">
        <v>42</v>
      </c>
      <c r="C2" s="297"/>
      <c r="D2" s="297"/>
      <c r="E2" s="297"/>
      <c r="F2" s="7"/>
    </row>
    <row r="3" spans="1:6" ht="8.25" customHeight="1">
      <c r="A3" s="6"/>
      <c r="B3" s="297"/>
      <c r="C3" s="297"/>
      <c r="D3" s="297"/>
      <c r="E3" s="297"/>
      <c r="F3" s="7"/>
    </row>
    <row r="4" spans="2:6" ht="20.25">
      <c r="B4" s="298" t="s">
        <v>43</v>
      </c>
      <c r="C4" s="298"/>
      <c r="D4" s="298"/>
      <c r="E4" s="298"/>
      <c r="F4" s="8"/>
    </row>
    <row r="5" ht="7.5" customHeight="1"/>
    <row r="6" spans="1:5" ht="15">
      <c r="A6" s="302" t="s">
        <v>213</v>
      </c>
      <c r="B6" s="302"/>
      <c r="C6" s="302"/>
      <c r="D6" s="302"/>
      <c r="E6" s="302"/>
    </row>
    <row r="7" spans="1:20" s="77" customFormat="1" ht="15">
      <c r="A7" s="302" t="s">
        <v>295</v>
      </c>
      <c r="B7" s="302"/>
      <c r="C7" s="302"/>
      <c r="D7" s="302"/>
      <c r="E7" s="302"/>
      <c r="S7" s="195"/>
      <c r="T7" s="195"/>
    </row>
    <row r="8" spans="1:4" ht="11.25" customHeight="1">
      <c r="A8" s="2"/>
      <c r="B8" s="2"/>
      <c r="C8" s="62"/>
      <c r="D8" s="2"/>
    </row>
    <row r="9" spans="1:15" ht="15">
      <c r="A9" s="3"/>
      <c r="B9" s="3"/>
      <c r="C9" s="93"/>
      <c r="D9" s="92"/>
      <c r="E9" s="190"/>
      <c r="F9" s="1"/>
      <c r="J9" s="66" t="s">
        <v>193</v>
      </c>
      <c r="K9" s="66" t="s">
        <v>194</v>
      </c>
      <c r="L9" s="66" t="s">
        <v>195</v>
      </c>
      <c r="M9" s="66" t="s">
        <v>196</v>
      </c>
      <c r="N9" s="66" t="s">
        <v>197</v>
      </c>
      <c r="O9" s="66" t="s">
        <v>198</v>
      </c>
    </row>
    <row r="10" spans="1:17" ht="15">
      <c r="A10" s="3"/>
      <c r="B10" s="3"/>
      <c r="C10" s="184" t="s">
        <v>296</v>
      </c>
      <c r="D10" s="92"/>
      <c r="E10" s="184" t="s">
        <v>290</v>
      </c>
      <c r="F10" s="1"/>
      <c r="H10" s="82"/>
      <c r="I10" s="82"/>
      <c r="J10" s="82">
        <f>'CF'!L14</f>
        <v>16205</v>
      </c>
      <c r="K10" s="82">
        <f>'CF'!N14</f>
        <v>-154</v>
      </c>
      <c r="L10" s="82">
        <f>'CF'!K14</f>
        <v>503</v>
      </c>
      <c r="M10" s="82">
        <f>'CF'!C29</f>
        <v>-8307</v>
      </c>
      <c r="N10" s="82">
        <f>'CF'!C30</f>
        <v>82</v>
      </c>
      <c r="O10" s="82">
        <v>16315</v>
      </c>
      <c r="P10" s="82">
        <f>-SUM(J10:O10)</f>
        <v>-24644</v>
      </c>
      <c r="Q10" s="82"/>
    </row>
    <row r="11" spans="1:17" ht="15">
      <c r="A11" s="3"/>
      <c r="B11" s="3"/>
      <c r="C11" s="74" t="s">
        <v>16</v>
      </c>
      <c r="D11" s="92"/>
      <c r="E11" s="91" t="s">
        <v>17</v>
      </c>
      <c r="F11" s="1"/>
      <c r="H11" s="82"/>
      <c r="I11" s="82"/>
      <c r="J11" s="82"/>
      <c r="K11" s="82"/>
      <c r="L11" s="82"/>
      <c r="M11" s="82"/>
      <c r="N11" s="82"/>
      <c r="O11" s="82"/>
      <c r="P11" s="82"/>
      <c r="Q11" s="82"/>
    </row>
    <row r="12" spans="1:17" ht="15">
      <c r="A12" s="3"/>
      <c r="B12" s="3"/>
      <c r="C12" s="74" t="s">
        <v>18</v>
      </c>
      <c r="D12" s="92"/>
      <c r="E12" s="91" t="s">
        <v>18</v>
      </c>
      <c r="F12" s="1"/>
      <c r="H12" s="82"/>
      <c r="I12" s="82"/>
      <c r="J12" s="82"/>
      <c r="K12" s="82"/>
      <c r="L12" s="82"/>
      <c r="M12" s="82"/>
      <c r="N12" s="82"/>
      <c r="O12" s="82"/>
      <c r="P12" s="82"/>
      <c r="Q12" s="82"/>
    </row>
    <row r="13" spans="1:20" ht="15">
      <c r="A13" s="68" t="s">
        <v>19</v>
      </c>
      <c r="B13" s="68"/>
      <c r="C13" s="63"/>
      <c r="D13" s="63"/>
      <c r="E13" s="50"/>
      <c r="F13" s="1"/>
      <c r="H13" s="82"/>
      <c r="I13" s="82"/>
      <c r="J13" s="82"/>
      <c r="K13" s="82"/>
      <c r="L13" s="82"/>
      <c r="M13" s="82"/>
      <c r="N13" s="82"/>
      <c r="O13" s="82"/>
      <c r="P13" s="82"/>
      <c r="Q13" s="82"/>
      <c r="T13" s="195" t="s">
        <v>198</v>
      </c>
    </row>
    <row r="14" spans="1:17" ht="15">
      <c r="A14" s="68" t="s">
        <v>20</v>
      </c>
      <c r="B14" s="68"/>
      <c r="C14" s="63"/>
      <c r="D14" s="63"/>
      <c r="E14" s="50"/>
      <c r="F14" s="1"/>
      <c r="H14" s="82"/>
      <c r="I14" s="82"/>
      <c r="J14" s="82" t="s">
        <v>199</v>
      </c>
      <c r="K14" s="82" t="s">
        <v>193</v>
      </c>
      <c r="L14" s="82" t="s">
        <v>195</v>
      </c>
      <c r="M14" s="82" t="s">
        <v>196</v>
      </c>
      <c r="N14" s="82" t="s">
        <v>194</v>
      </c>
      <c r="O14" s="82" t="s">
        <v>198</v>
      </c>
      <c r="P14" s="82"/>
      <c r="Q14" s="82"/>
    </row>
    <row r="15" spans="1:20" ht="15">
      <c r="A15" s="63" t="s">
        <v>21</v>
      </c>
      <c r="B15" s="63"/>
      <c r="C15" s="248">
        <f>187329</f>
        <v>187329</v>
      </c>
      <c r="D15" s="249"/>
      <c r="E15" s="248">
        <v>182964</v>
      </c>
      <c r="F15" s="79"/>
      <c r="G15" s="29"/>
      <c r="H15" s="82">
        <f>E15-C15</f>
        <v>-4365</v>
      </c>
      <c r="I15" s="82"/>
      <c r="J15" s="82">
        <v>9546</v>
      </c>
      <c r="K15" s="82">
        <v>-16138</v>
      </c>
      <c r="L15" s="82"/>
      <c r="M15" s="82">
        <v>156</v>
      </c>
      <c r="N15" s="82">
        <v>-154</v>
      </c>
      <c r="O15" s="83">
        <v>-16319</v>
      </c>
      <c r="P15" s="82">
        <f>-SUM(J15:O15)</f>
        <v>22909</v>
      </c>
      <c r="Q15" s="82"/>
      <c r="R15" s="29">
        <f>E15-C15+E16-C16</f>
        <v>-4348</v>
      </c>
      <c r="S15" s="195">
        <f>'CF'!W14+'CF'!C29</f>
        <v>-8307</v>
      </c>
      <c r="T15" s="195">
        <f>R15-S15</f>
        <v>3959</v>
      </c>
    </row>
    <row r="16" spans="1:17" ht="15">
      <c r="A16" s="63" t="s">
        <v>22</v>
      </c>
      <c r="B16" s="63"/>
      <c r="C16" s="248">
        <v>5312</v>
      </c>
      <c r="D16" s="249"/>
      <c r="E16" s="248">
        <v>5329</v>
      </c>
      <c r="F16" s="79"/>
      <c r="G16" s="29"/>
      <c r="H16" s="82">
        <f>E16-C16</f>
        <v>17</v>
      </c>
      <c r="I16" s="82"/>
      <c r="J16" s="82"/>
      <c r="K16" s="82">
        <v>-67</v>
      </c>
      <c r="L16" s="82"/>
      <c r="M16" s="82"/>
      <c r="N16" s="82"/>
      <c r="O16" s="82"/>
      <c r="P16" s="82"/>
      <c r="Q16" s="82"/>
    </row>
    <row r="17" spans="1:20" s="77" customFormat="1" ht="15">
      <c r="A17" s="63" t="s">
        <v>214</v>
      </c>
      <c r="B17" s="63"/>
      <c r="C17" s="248">
        <v>146</v>
      </c>
      <c r="D17" s="249"/>
      <c r="E17" s="248">
        <v>140</v>
      </c>
      <c r="F17" s="79"/>
      <c r="H17" s="82"/>
      <c r="I17" s="82"/>
      <c r="J17" s="82"/>
      <c r="K17" s="82"/>
      <c r="L17" s="82"/>
      <c r="M17" s="82"/>
      <c r="N17" s="82"/>
      <c r="O17" s="82"/>
      <c r="P17" s="82"/>
      <c r="Q17" s="82"/>
      <c r="R17" s="29"/>
      <c r="S17" s="195"/>
      <c r="T17" s="195"/>
    </row>
    <row r="18" spans="1:20" s="77" customFormat="1" ht="15">
      <c r="A18" s="63" t="s">
        <v>215</v>
      </c>
      <c r="B18" s="63"/>
      <c r="C18" s="250">
        <v>3123</v>
      </c>
      <c r="D18" s="249"/>
      <c r="E18" s="250">
        <v>2376</v>
      </c>
      <c r="F18" s="1"/>
      <c r="H18" s="83"/>
      <c r="I18" s="82"/>
      <c r="J18" s="82"/>
      <c r="K18" s="82"/>
      <c r="L18" s="82"/>
      <c r="M18" s="82"/>
      <c r="N18" s="82"/>
      <c r="O18" s="82"/>
      <c r="P18" s="82"/>
      <c r="Q18" s="82"/>
      <c r="S18" s="195"/>
      <c r="T18" s="195"/>
    </row>
    <row r="19" spans="1:17" ht="15">
      <c r="A19" s="63"/>
      <c r="B19" s="63"/>
      <c r="C19" s="250">
        <f>SUM(C15:C18)</f>
        <v>195910</v>
      </c>
      <c r="D19" s="249"/>
      <c r="E19" s="250">
        <f>SUM(E15:E18)</f>
        <v>190809</v>
      </c>
      <c r="F19" s="1"/>
      <c r="H19" s="82"/>
      <c r="I19" s="82"/>
      <c r="J19" s="82"/>
      <c r="K19" s="82"/>
      <c r="L19" s="82"/>
      <c r="M19" s="82"/>
      <c r="N19" s="82"/>
      <c r="O19" s="82"/>
      <c r="P19" s="82"/>
      <c r="Q19" s="82"/>
    </row>
    <row r="20" spans="1:17" ht="15">
      <c r="A20" s="68" t="s">
        <v>24</v>
      </c>
      <c r="B20" s="68"/>
      <c r="C20" s="251"/>
      <c r="D20" s="249"/>
      <c r="E20" s="251"/>
      <c r="F20" s="1"/>
      <c r="H20" s="82"/>
      <c r="I20" s="82"/>
      <c r="J20" s="71" t="s">
        <v>23</v>
      </c>
      <c r="K20" s="82"/>
      <c r="L20" s="82"/>
      <c r="M20" s="82"/>
      <c r="N20" s="82"/>
      <c r="O20" s="82"/>
      <c r="P20" s="82"/>
      <c r="Q20" s="82"/>
    </row>
    <row r="21" spans="1:20" ht="15">
      <c r="A21" s="63" t="s">
        <v>25</v>
      </c>
      <c r="B21" s="63"/>
      <c r="C21" s="248">
        <v>223987</v>
      </c>
      <c r="D21" s="249"/>
      <c r="E21" s="248">
        <f>220948+1</f>
        <v>220949</v>
      </c>
      <c r="F21" s="89">
        <f>E21+E22-C21-C22+C43-E43</f>
        <v>-13987</v>
      </c>
      <c r="H21" s="82" t="e">
        <f>E21+E22-C21-C22+C43-E43-'CF'!C19-'CF'!L25-'CF'!M25-'CF'!J14+I32-'CF'!C34</f>
        <v>#REF!</v>
      </c>
      <c r="I21" s="82"/>
      <c r="J21" s="82"/>
      <c r="K21" s="82" t="s">
        <v>201</v>
      </c>
      <c r="L21" s="82" t="s">
        <v>195</v>
      </c>
      <c r="M21" s="82" t="s">
        <v>199</v>
      </c>
      <c r="N21" s="82" t="s">
        <v>198</v>
      </c>
      <c r="O21" s="82" t="s">
        <v>202</v>
      </c>
      <c r="P21" s="82"/>
      <c r="Q21" s="82"/>
      <c r="R21" s="29">
        <f>E18+E21+E22-C18-C21-C22+C43-E43</f>
        <v>-14734</v>
      </c>
      <c r="S21" s="195">
        <f>'CF'!C19+'CF'!W15+'CF'!W13+'CF'!C34</f>
        <v>-20406</v>
      </c>
      <c r="T21" s="195">
        <f>R21-S21</f>
        <v>5672</v>
      </c>
    </row>
    <row r="22" spans="1:17" ht="15">
      <c r="A22" s="63" t="s">
        <v>26</v>
      </c>
      <c r="B22" s="63"/>
      <c r="C22" s="248">
        <f>102057+23275</f>
        <v>125332</v>
      </c>
      <c r="D22" s="249"/>
      <c r="E22" s="248">
        <f>96191+12693</f>
        <v>108884</v>
      </c>
      <c r="F22" s="80"/>
      <c r="H22" s="82"/>
      <c r="I22" s="82"/>
      <c r="J22" s="82" t="s">
        <v>176</v>
      </c>
      <c r="K22" s="82">
        <v>5781</v>
      </c>
      <c r="L22" s="82">
        <v>-128</v>
      </c>
      <c r="M22" s="82">
        <v>0</v>
      </c>
      <c r="N22" s="82">
        <v>0</v>
      </c>
      <c r="O22" s="82">
        <v>5653</v>
      </c>
      <c r="P22" s="82"/>
      <c r="Q22" s="82"/>
    </row>
    <row r="23" spans="1:19" ht="15">
      <c r="A23" s="63" t="s">
        <v>27</v>
      </c>
      <c r="B23" s="63"/>
      <c r="C23" s="248">
        <v>0</v>
      </c>
      <c r="D23" s="249"/>
      <c r="E23" s="248">
        <v>1998</v>
      </c>
      <c r="F23" s="79"/>
      <c r="H23" s="82" t="e">
        <f>E23-C23+C40-E40+'IS'!F34-'CF'!C23-'CF'!#REF!</f>
        <v>#REF!</v>
      </c>
      <c r="I23" s="82"/>
      <c r="J23" s="82" t="s">
        <v>200</v>
      </c>
      <c r="K23" s="82">
        <v>14926</v>
      </c>
      <c r="L23" s="82">
        <v>-261</v>
      </c>
      <c r="M23" s="82">
        <v>74</v>
      </c>
      <c r="N23" s="82">
        <v>-2175</v>
      </c>
      <c r="O23" s="82">
        <v>12564</v>
      </c>
      <c r="P23" s="82"/>
      <c r="Q23" s="82"/>
      <c r="R23" s="29">
        <f>E23-C23+C40-E40+'IS'!F34</f>
        <v>203</v>
      </c>
      <c r="S23" s="195">
        <f>'CF'!C23</f>
        <v>296</v>
      </c>
    </row>
    <row r="24" spans="1:20" s="77" customFormat="1" ht="15">
      <c r="A24" s="63" t="s">
        <v>298</v>
      </c>
      <c r="B24" s="63"/>
      <c r="C24" s="248">
        <v>2135</v>
      </c>
      <c r="D24" s="249"/>
      <c r="E24" s="248">
        <v>0</v>
      </c>
      <c r="F24" s="79"/>
      <c r="H24" s="195"/>
      <c r="I24" s="195"/>
      <c r="J24" s="195"/>
      <c r="K24" s="195"/>
      <c r="L24" s="195"/>
      <c r="M24" s="195"/>
      <c r="N24" s="195"/>
      <c r="O24" s="195"/>
      <c r="P24" s="195"/>
      <c r="Q24" s="195"/>
      <c r="R24" s="29"/>
      <c r="S24" s="195"/>
      <c r="T24" s="195"/>
    </row>
    <row r="25" spans="1:17" ht="15">
      <c r="A25" s="63" t="s">
        <v>261</v>
      </c>
      <c r="B25" s="63"/>
      <c r="C25" s="250">
        <v>24911</v>
      </c>
      <c r="D25" s="249"/>
      <c r="E25" s="250">
        <f>23707</f>
        <v>23707</v>
      </c>
      <c r="F25" s="1"/>
      <c r="H25" s="82"/>
      <c r="I25" s="82"/>
      <c r="J25" s="82" t="s">
        <v>186</v>
      </c>
      <c r="K25" s="82">
        <v>5147</v>
      </c>
      <c r="L25" s="82">
        <v>-114</v>
      </c>
      <c r="M25" s="82">
        <v>0</v>
      </c>
      <c r="N25" s="82">
        <v>0</v>
      </c>
      <c r="O25" s="82">
        <v>5033</v>
      </c>
      <c r="P25" s="82"/>
      <c r="Q25" s="82"/>
    </row>
    <row r="26" spans="1:17" ht="15">
      <c r="A26" s="63"/>
      <c r="B26" s="63"/>
      <c r="C26" s="250">
        <f>SUM(C21:C25)</f>
        <v>376365</v>
      </c>
      <c r="D26" s="249"/>
      <c r="E26" s="250">
        <f>SUM(E21:E25)</f>
        <v>355538</v>
      </c>
      <c r="F26" s="1"/>
      <c r="H26" s="82"/>
      <c r="I26" s="82"/>
      <c r="J26" s="82"/>
      <c r="K26" s="82"/>
      <c r="L26" s="82"/>
      <c r="M26" s="82"/>
      <c r="N26" s="82"/>
      <c r="O26" s="82"/>
      <c r="P26" s="82"/>
      <c r="Q26" s="82"/>
    </row>
    <row r="27" spans="1:17" ht="15.75" thickBot="1">
      <c r="A27" s="68" t="s">
        <v>28</v>
      </c>
      <c r="B27" s="68"/>
      <c r="C27" s="252">
        <f>C26+C19</f>
        <v>572275</v>
      </c>
      <c r="D27" s="253"/>
      <c r="E27" s="252">
        <f>E26+E19</f>
        <v>546347</v>
      </c>
      <c r="F27" s="1"/>
      <c r="H27" s="82"/>
      <c r="I27" s="82"/>
      <c r="J27" s="82"/>
      <c r="K27" s="82">
        <f>SUM(K22:K26)</f>
        <v>25854</v>
      </c>
      <c r="L27" s="82">
        <f>SUM(L22:L26)</f>
        <v>-503</v>
      </c>
      <c r="M27" s="82">
        <f>SUM(M22:M26)</f>
        <v>74</v>
      </c>
      <c r="N27" s="84">
        <f>SUM(N22:N26)</f>
        <v>-2175</v>
      </c>
      <c r="O27" s="82">
        <f>SUM(O22:O26)</f>
        <v>23250</v>
      </c>
      <c r="P27" s="82"/>
      <c r="Q27" s="82"/>
    </row>
    <row r="28" spans="1:17" ht="11.25" customHeight="1" thickTop="1">
      <c r="A28" s="72"/>
      <c r="B28" s="72"/>
      <c r="C28" s="254"/>
      <c r="D28" s="255"/>
      <c r="E28" s="254"/>
      <c r="F28" s="1"/>
      <c r="H28" s="82"/>
      <c r="I28" s="82"/>
      <c r="J28" s="82"/>
      <c r="K28" s="82"/>
      <c r="L28" s="82"/>
      <c r="M28" s="82"/>
      <c r="N28" s="82"/>
      <c r="O28" s="82"/>
      <c r="P28" s="82"/>
      <c r="Q28" s="82"/>
    </row>
    <row r="29" spans="1:17" ht="15">
      <c r="A29" s="68" t="s">
        <v>29</v>
      </c>
      <c r="B29" s="68"/>
      <c r="C29" s="251"/>
      <c r="D29" s="249"/>
      <c r="E29" s="251"/>
      <c r="F29" s="1"/>
      <c r="H29" s="82"/>
      <c r="I29" s="82"/>
      <c r="J29" s="82"/>
      <c r="K29" s="82"/>
      <c r="L29" s="82"/>
      <c r="M29" s="82"/>
      <c r="N29" s="82"/>
      <c r="O29" s="82"/>
      <c r="P29" s="82"/>
      <c r="Q29" s="82"/>
    </row>
    <row r="30" spans="1:17" ht="15">
      <c r="A30" s="68" t="s">
        <v>286</v>
      </c>
      <c r="B30" s="63"/>
      <c r="C30" s="251"/>
      <c r="D30" s="249"/>
      <c r="E30" s="251"/>
      <c r="F30" s="1"/>
      <c r="H30" s="82"/>
      <c r="I30" s="82"/>
      <c r="J30" s="82"/>
      <c r="K30" s="82"/>
      <c r="L30" s="82"/>
      <c r="M30" s="82"/>
      <c r="N30" s="82"/>
      <c r="O30" s="82"/>
      <c r="P30" s="82"/>
      <c r="Q30" s="82"/>
    </row>
    <row r="31" spans="1:9" ht="15">
      <c r="A31" s="63" t="s">
        <v>30</v>
      </c>
      <c r="B31" s="63"/>
      <c r="C31" s="248">
        <f>136267</f>
        <v>136267</v>
      </c>
      <c r="D31" s="249"/>
      <c r="E31" s="248">
        <v>136267</v>
      </c>
      <c r="F31" s="1"/>
      <c r="G31" s="66" t="s">
        <v>203</v>
      </c>
      <c r="H31" s="66" t="s">
        <v>204</v>
      </c>
      <c r="I31" s="66" t="s">
        <v>205</v>
      </c>
    </row>
    <row r="32" spans="1:18" ht="15">
      <c r="A32" s="63" t="s">
        <v>31</v>
      </c>
      <c r="B32" s="63"/>
      <c r="C32" s="250">
        <f>2513+194778-21690</f>
        <v>175601</v>
      </c>
      <c r="D32" s="249"/>
      <c r="E32" s="250">
        <f>2513-23638+177504</f>
        <v>156379</v>
      </c>
      <c r="F32" s="45">
        <f>E32-'EQ'!C17-'EQ'!D17</f>
        <v>177505</v>
      </c>
      <c r="G32" s="82">
        <f>'EQ'!F20</f>
        <v>19223</v>
      </c>
      <c r="H32" s="84" t="e">
        <f>'EQ'!#REF!</f>
        <v>#REF!</v>
      </c>
      <c r="I32" s="82" t="e">
        <f>'EQ'!#REF!</f>
        <v>#REF!</v>
      </c>
      <c r="J32" s="82">
        <f>C32-E32</f>
        <v>19222</v>
      </c>
      <c r="K32" s="82"/>
      <c r="L32" s="82"/>
      <c r="M32" s="82"/>
      <c r="N32" s="82"/>
      <c r="O32" s="82"/>
      <c r="R32" s="195">
        <f>C32-E32</f>
        <v>19222</v>
      </c>
    </row>
    <row r="33" spans="1:18" ht="15">
      <c r="A33" s="63"/>
      <c r="B33" s="63"/>
      <c r="C33" s="256">
        <f>SUM(C31:C32)</f>
        <v>311868</v>
      </c>
      <c r="D33" s="249"/>
      <c r="E33" s="256">
        <f>SUM(E31:E32)</f>
        <v>292646</v>
      </c>
      <c r="F33" s="1"/>
      <c r="G33" s="82"/>
      <c r="H33" s="82"/>
      <c r="I33" s="82"/>
      <c r="J33" s="82"/>
      <c r="K33" s="82"/>
      <c r="L33" s="82"/>
      <c r="M33" s="82"/>
      <c r="N33" s="82"/>
      <c r="O33" s="82" t="e">
        <f>O15-#REF!-#REF!-N27-H32</f>
        <v>#REF!</v>
      </c>
      <c r="R33" s="195"/>
    </row>
    <row r="34" spans="1:18" ht="15">
      <c r="A34" s="63" t="s">
        <v>172</v>
      </c>
      <c r="B34" s="63"/>
      <c r="C34" s="250">
        <f>39877</f>
        <v>39877</v>
      </c>
      <c r="D34" s="249"/>
      <c r="E34" s="250">
        <v>31195</v>
      </c>
      <c r="G34" s="82"/>
      <c r="H34" s="85"/>
      <c r="I34" s="82"/>
      <c r="J34" s="82"/>
      <c r="K34" s="82"/>
      <c r="L34" s="82"/>
      <c r="M34" s="82"/>
      <c r="N34" s="82"/>
      <c r="O34" s="82"/>
      <c r="R34" s="195">
        <f>C34-E34</f>
        <v>8682</v>
      </c>
    </row>
    <row r="35" spans="1:15" ht="15">
      <c r="A35" s="68" t="s">
        <v>32</v>
      </c>
      <c r="B35" s="68"/>
      <c r="C35" s="257">
        <f>SUM(C33:C34)</f>
        <v>351745</v>
      </c>
      <c r="D35" s="249"/>
      <c r="E35" s="257">
        <f>SUM(E33:E34)</f>
        <v>323841</v>
      </c>
      <c r="F35" s="1"/>
      <c r="G35" s="82"/>
      <c r="H35" s="82"/>
      <c r="I35" s="82"/>
      <c r="J35" s="82"/>
      <c r="K35" s="82"/>
      <c r="L35" s="82"/>
      <c r="M35" s="82"/>
      <c r="N35" s="82"/>
      <c r="O35" s="82"/>
    </row>
    <row r="36" spans="1:6" ht="11.25" customHeight="1">
      <c r="A36" s="68"/>
      <c r="B36" s="68"/>
      <c r="C36" s="251"/>
      <c r="D36" s="249"/>
      <c r="E36" s="251"/>
      <c r="F36" s="1"/>
    </row>
    <row r="37" spans="1:6" ht="15">
      <c r="A37" s="68" t="s">
        <v>33</v>
      </c>
      <c r="B37" s="68"/>
      <c r="C37" s="251"/>
      <c r="D37" s="249"/>
      <c r="E37" s="251"/>
      <c r="F37" s="1"/>
    </row>
    <row r="38" spans="1:18" ht="15">
      <c r="A38" s="63" t="s">
        <v>34</v>
      </c>
      <c r="B38" s="63"/>
      <c r="C38" s="248">
        <f>2550-21</f>
        <v>2529</v>
      </c>
      <c r="D38" s="249"/>
      <c r="E38" s="248">
        <v>2529</v>
      </c>
      <c r="F38" s="79"/>
      <c r="H38" s="29">
        <f>C38-E38-'CF'!Q14</f>
        <v>-342</v>
      </c>
      <c r="R38" s="29">
        <f>C38-E38</f>
        <v>0</v>
      </c>
    </row>
    <row r="39" spans="1:19" ht="15">
      <c r="A39" s="63" t="s">
        <v>35</v>
      </c>
      <c r="B39" s="63"/>
      <c r="C39" s="248">
        <f>9494+1265</f>
        <v>10759</v>
      </c>
      <c r="D39" s="249"/>
      <c r="E39" s="248">
        <v>9101</v>
      </c>
      <c r="F39" s="79"/>
      <c r="H39" s="29" t="e">
        <f>C39+C44-E39-E44-'CF'!C35-'CF'!K25-'CF'!G51</f>
        <v>#REF!</v>
      </c>
      <c r="R39" s="29">
        <f>C39+C45+'CF'!C51-E39-E45-51</f>
        <v>-2313</v>
      </c>
      <c r="S39" s="195">
        <f>'CF'!C35</f>
        <v>-1508</v>
      </c>
    </row>
    <row r="40" spans="1:6" ht="15">
      <c r="A40" s="63" t="s">
        <v>36</v>
      </c>
      <c r="B40" s="63"/>
      <c r="C40" s="250">
        <f>10548</f>
        <v>10548</v>
      </c>
      <c r="D40" s="249"/>
      <c r="E40" s="250">
        <v>10404</v>
      </c>
      <c r="F40" s="90">
        <f>C40-E40</f>
        <v>144</v>
      </c>
    </row>
    <row r="41" spans="1:6" ht="15">
      <c r="A41" s="63"/>
      <c r="B41" s="63"/>
      <c r="C41" s="250">
        <f>SUM(C38:C40)</f>
        <v>23836</v>
      </c>
      <c r="D41" s="249"/>
      <c r="E41" s="250">
        <f>SUM(E38:E40)</f>
        <v>22034</v>
      </c>
      <c r="F41" s="1"/>
    </row>
    <row r="42" spans="1:6" ht="15">
      <c r="A42" s="68" t="s">
        <v>37</v>
      </c>
      <c r="B42" s="68"/>
      <c r="C42" s="251"/>
      <c r="D42" s="249"/>
      <c r="E42" s="251"/>
      <c r="F42" s="1"/>
    </row>
    <row r="43" spans="1:6" ht="15">
      <c r="A43" s="63" t="s">
        <v>38</v>
      </c>
      <c r="B43" s="63"/>
      <c r="C43" s="248">
        <f>40760+48139</f>
        <v>88899</v>
      </c>
      <c r="D43" s="249"/>
      <c r="E43" s="248">
        <f>33311+50089</f>
        <v>83400</v>
      </c>
      <c r="F43" s="80"/>
    </row>
    <row r="44" spans="1:18" ht="15">
      <c r="A44" s="63" t="s">
        <v>34</v>
      </c>
      <c r="B44" s="63"/>
      <c r="C44" s="256">
        <v>21</v>
      </c>
      <c r="D44" s="249"/>
      <c r="E44" s="256">
        <v>21</v>
      </c>
      <c r="F44" s="79"/>
      <c r="R44" s="29">
        <f>C44-E44</f>
        <v>0</v>
      </c>
    </row>
    <row r="45" spans="1:20" s="77" customFormat="1" ht="15">
      <c r="A45" s="63" t="s">
        <v>35</v>
      </c>
      <c r="B45" s="63"/>
      <c r="C45" s="256">
        <f>107680</f>
        <v>107680</v>
      </c>
      <c r="D45" s="258"/>
      <c r="E45" s="256">
        <f>111600</f>
        <v>111600</v>
      </c>
      <c r="F45" s="79"/>
      <c r="S45" s="195"/>
      <c r="T45" s="195"/>
    </row>
    <row r="46" spans="1:20" s="77" customFormat="1" ht="15">
      <c r="A46" s="63" t="s">
        <v>297</v>
      </c>
      <c r="B46" s="63"/>
      <c r="C46" s="256">
        <v>0</v>
      </c>
      <c r="D46" s="258"/>
      <c r="E46" s="256">
        <v>5451</v>
      </c>
      <c r="F46" s="79"/>
      <c r="S46" s="195"/>
      <c r="T46" s="195"/>
    </row>
    <row r="47" spans="1:20" s="77" customFormat="1" ht="15">
      <c r="A47" s="63" t="s">
        <v>283</v>
      </c>
      <c r="B47" s="63"/>
      <c r="C47" s="250">
        <f>94</f>
        <v>94</v>
      </c>
      <c r="D47" s="249"/>
      <c r="E47" s="250">
        <v>0</v>
      </c>
      <c r="F47" s="79"/>
      <c r="S47" s="195"/>
      <c r="T47" s="195"/>
    </row>
    <row r="48" spans="1:6" ht="15">
      <c r="A48" s="63"/>
      <c r="B48" s="63"/>
      <c r="C48" s="250">
        <f>SUM(C43:C47)</f>
        <v>196694</v>
      </c>
      <c r="D48" s="259"/>
      <c r="E48" s="250">
        <f>SUM(E43:E47)</f>
        <v>200472</v>
      </c>
      <c r="F48" s="1"/>
    </row>
    <row r="49" spans="1:6" ht="15">
      <c r="A49" s="68" t="s">
        <v>40</v>
      </c>
      <c r="B49" s="68"/>
      <c r="C49" s="250">
        <f>C48+C41</f>
        <v>220530</v>
      </c>
      <c r="D49" s="259"/>
      <c r="E49" s="250">
        <f>E48+E41</f>
        <v>222506</v>
      </c>
      <c r="F49" s="1"/>
    </row>
    <row r="50" spans="1:22" ht="15.75" thickBot="1">
      <c r="A50" s="68" t="s">
        <v>41</v>
      </c>
      <c r="B50" s="68"/>
      <c r="C50" s="252">
        <f>C49+C35</f>
        <v>572275</v>
      </c>
      <c r="D50" s="260"/>
      <c r="E50" s="252">
        <f>E49+E35</f>
        <v>546347</v>
      </c>
      <c r="F50" s="29">
        <f>C50-C27</f>
        <v>0</v>
      </c>
      <c r="H50" s="29">
        <f>E50-E27</f>
        <v>0</v>
      </c>
      <c r="Q50" s="29">
        <f>C50-C27</f>
        <v>0</v>
      </c>
      <c r="S50" s="29"/>
      <c r="V50" s="29"/>
    </row>
    <row r="51" spans="1:5" ht="15.75" thickTop="1">
      <c r="A51" s="63"/>
      <c r="B51" s="70"/>
      <c r="C51" s="50"/>
      <c r="D51" s="70"/>
      <c r="E51" s="75"/>
    </row>
    <row r="52" spans="1:6" ht="15">
      <c r="A52" s="63" t="s">
        <v>274</v>
      </c>
      <c r="B52" s="46"/>
      <c r="C52" s="64">
        <f>C33/(C31*2)</f>
        <v>1.1443269463626558</v>
      </c>
      <c r="D52" s="50"/>
      <c r="E52" s="64">
        <f>E33/(E31*2)</f>
        <v>1.0737962969757902</v>
      </c>
      <c r="F52" s="32"/>
    </row>
    <row r="53" spans="1:5" ht="15">
      <c r="A53" s="301"/>
      <c r="B53" s="301"/>
      <c r="C53" s="301"/>
      <c r="D53" s="301"/>
      <c r="E53" s="75"/>
    </row>
    <row r="54" spans="1:5" ht="15">
      <c r="A54" s="299" t="s">
        <v>299</v>
      </c>
      <c r="B54" s="299"/>
      <c r="C54" s="299"/>
      <c r="D54" s="299"/>
      <c r="E54" s="299"/>
    </row>
    <row r="55" spans="1:5" ht="20.25" customHeight="1" thickBot="1">
      <c r="A55" s="300"/>
      <c r="B55" s="300"/>
      <c r="C55" s="300"/>
      <c r="D55" s="300"/>
      <c r="E55" s="300"/>
    </row>
  </sheetData>
  <sheetProtection/>
  <mergeCells count="6">
    <mergeCell ref="B2:E3"/>
    <mergeCell ref="B4:E4"/>
    <mergeCell ref="A54:E55"/>
    <mergeCell ref="A53:D53"/>
    <mergeCell ref="A6:E6"/>
    <mergeCell ref="A7:E7"/>
  </mergeCells>
  <printOptions/>
  <pageMargins left="0.8" right="0.26" top="0.55" bottom="0.51" header="0.3" footer="0.21"/>
  <pageSetup firstPageNumber="1" useFirstPageNumber="1" horizontalDpi="600" verticalDpi="600" orientation="portrait" paperSize="9" scale="93" r:id="rId3"/>
  <headerFooter>
    <oddFooter>&amp;C&amp;P</oddFooter>
  </headerFooter>
  <legacyDrawing r:id="rId2"/>
  <oleObjects>
    <oleObject progId="Word.Picture.8" shapeId="811058" r:id="rId1"/>
  </oleObjects>
</worksheet>
</file>

<file path=xl/worksheets/sheet2.xml><?xml version="1.0" encoding="utf-8"?>
<worksheet xmlns="http://schemas.openxmlformats.org/spreadsheetml/2006/main" xmlns:r="http://schemas.openxmlformats.org/officeDocument/2006/relationships">
  <sheetPr>
    <tabColor rgb="FFFFFF00"/>
  </sheetPr>
  <dimension ref="A1:AB101"/>
  <sheetViews>
    <sheetView view="pageBreakPreview" zoomScaleSheetLayoutView="100" workbookViewId="0" topLeftCell="A1">
      <selection activeCell="A68" sqref="A68"/>
    </sheetView>
  </sheetViews>
  <sheetFormatPr defaultColWidth="9.00390625" defaultRowHeight="15.75"/>
  <cols>
    <col min="1" max="1" width="33.125" style="0" customWidth="1"/>
    <col min="2" max="2" width="11.125" style="0" customWidth="1"/>
    <col min="3" max="3" width="4.25390625" style="0" bestFit="1" customWidth="1"/>
    <col min="4" max="4" width="11.125" style="0" customWidth="1"/>
    <col min="5" max="5" width="4.25390625" style="0" bestFit="1" customWidth="1"/>
    <col min="6" max="6" width="11.125" style="0" customWidth="1"/>
    <col min="7" max="7" width="4.25390625" style="0" bestFit="1" customWidth="1"/>
    <col min="8" max="8" width="11.125" style="0" customWidth="1"/>
    <col min="9" max="9" width="9.50390625" style="0" hidden="1" customWidth="1"/>
    <col min="10" max="10" width="7.25390625" style="0" bestFit="1" customWidth="1"/>
    <col min="11" max="11" width="9.00390625" style="0" hidden="1" customWidth="1"/>
    <col min="12" max="12" width="2.00390625" style="0" hidden="1" customWidth="1"/>
    <col min="13" max="13" width="9.00390625" style="0" hidden="1" customWidth="1"/>
    <col min="14" max="14" width="1.4921875" style="0" hidden="1" customWidth="1"/>
    <col min="15" max="15" width="11.125" style="0" hidden="1" customWidth="1"/>
    <col min="16" max="16" width="9.125" style="0" hidden="1" customWidth="1"/>
    <col min="17" max="17" width="10.75390625" style="0" hidden="1" customWidth="1"/>
    <col min="18" max="18" width="11.125" style="0" hidden="1" customWidth="1"/>
    <col min="19" max="23" width="0" style="0" hidden="1" customWidth="1"/>
    <col min="27" max="27" width="3.375" style="0" customWidth="1"/>
  </cols>
  <sheetData>
    <row r="1" spans="1:4" ht="19.5" customHeight="1">
      <c r="A1" s="6"/>
      <c r="B1" s="6"/>
      <c r="C1" s="6"/>
      <c r="D1" s="6"/>
    </row>
    <row r="2" spans="1:8" ht="15.75" customHeight="1">
      <c r="A2" s="297" t="s">
        <v>236</v>
      </c>
      <c r="B2" s="297"/>
      <c r="C2" s="297"/>
      <c r="D2" s="297"/>
      <c r="E2" s="297"/>
      <c r="F2" s="297"/>
      <c r="G2" s="297"/>
      <c r="H2" s="297"/>
    </row>
    <row r="3" spans="1:8" ht="15.75" customHeight="1">
      <c r="A3" s="297"/>
      <c r="B3" s="297"/>
      <c r="C3" s="297"/>
      <c r="D3" s="297"/>
      <c r="E3" s="297"/>
      <c r="F3" s="297"/>
      <c r="G3" s="297"/>
      <c r="H3" s="297"/>
    </row>
    <row r="4" spans="1:8" ht="20.25">
      <c r="A4" s="298" t="s">
        <v>43</v>
      </c>
      <c r="B4" s="298"/>
      <c r="C4" s="298"/>
      <c r="D4" s="298"/>
      <c r="E4" s="298"/>
      <c r="F4" s="298"/>
      <c r="G4" s="298"/>
      <c r="H4" s="298"/>
    </row>
    <row r="6" s="77" customFormat="1" ht="15"/>
    <row r="7" spans="1:8" ht="15">
      <c r="A7" s="305" t="s">
        <v>216</v>
      </c>
      <c r="B7" s="305"/>
      <c r="C7" s="305"/>
      <c r="D7" s="305"/>
      <c r="E7" s="305"/>
      <c r="F7" s="305"/>
      <c r="G7" s="305"/>
      <c r="H7" s="305"/>
    </row>
    <row r="8" spans="1:8" ht="15">
      <c r="A8" s="305" t="s">
        <v>355</v>
      </c>
      <c r="B8" s="305"/>
      <c r="C8" s="305"/>
      <c r="D8" s="305"/>
      <c r="E8" s="305"/>
      <c r="F8" s="305"/>
      <c r="G8" s="305"/>
      <c r="H8" s="305"/>
    </row>
    <row r="9" spans="1:28" ht="15">
      <c r="A9" s="5"/>
      <c r="B9" s="3"/>
      <c r="C9" s="3"/>
      <c r="D9" s="4"/>
      <c r="E9" s="3"/>
      <c r="F9" s="4"/>
      <c r="G9" s="3"/>
      <c r="H9" s="4"/>
      <c r="Z9" s="13"/>
      <c r="AA9" s="13"/>
      <c r="AB9" s="13"/>
    </row>
    <row r="10" spans="1:28" s="77" customFormat="1" ht="15">
      <c r="A10" s="94"/>
      <c r="B10" s="3"/>
      <c r="C10" s="3"/>
      <c r="D10" s="4"/>
      <c r="E10" s="3"/>
      <c r="F10" s="4"/>
      <c r="G10" s="3"/>
      <c r="H10" s="4"/>
      <c r="Z10" s="13"/>
      <c r="AA10" s="13"/>
      <c r="AB10" s="13"/>
    </row>
    <row r="11" spans="1:28" s="77" customFormat="1" ht="15">
      <c r="A11" s="94"/>
      <c r="B11" s="303" t="s">
        <v>234</v>
      </c>
      <c r="C11" s="303"/>
      <c r="D11" s="303"/>
      <c r="E11" s="3"/>
      <c r="F11" s="303" t="s">
        <v>235</v>
      </c>
      <c r="G11" s="303"/>
      <c r="H11" s="303"/>
      <c r="Z11" s="304"/>
      <c r="AA11" s="304"/>
      <c r="AB11" s="304"/>
    </row>
    <row r="12" spans="1:28" s="25" customFormat="1" ht="15">
      <c r="A12" s="116"/>
      <c r="B12" s="303" t="s">
        <v>120</v>
      </c>
      <c r="C12" s="303"/>
      <c r="D12" s="303"/>
      <c r="E12" s="91"/>
      <c r="F12" s="303" t="s">
        <v>120</v>
      </c>
      <c r="G12" s="303"/>
      <c r="H12" s="303"/>
      <c r="Z12" s="304"/>
      <c r="AA12" s="304"/>
      <c r="AB12" s="304"/>
    </row>
    <row r="13" spans="1:28" s="25" customFormat="1" ht="15">
      <c r="A13" s="94"/>
      <c r="B13" s="91" t="s">
        <v>296</v>
      </c>
      <c r="C13" s="91"/>
      <c r="D13" s="91" t="s">
        <v>269</v>
      </c>
      <c r="E13" s="91"/>
      <c r="F13" s="91" t="s">
        <v>296</v>
      </c>
      <c r="G13" s="91"/>
      <c r="H13" s="215" t="s">
        <v>269</v>
      </c>
      <c r="Z13" s="275"/>
      <c r="AA13" s="275"/>
      <c r="AB13" s="275"/>
    </row>
    <row r="14" spans="1:28" s="25" customFormat="1" ht="15">
      <c r="A14" s="116"/>
      <c r="B14" s="91" t="s">
        <v>18</v>
      </c>
      <c r="C14" s="94"/>
      <c r="D14" s="91" t="s">
        <v>18</v>
      </c>
      <c r="E14" s="94"/>
      <c r="F14" s="91" t="s">
        <v>18</v>
      </c>
      <c r="G14" s="94"/>
      <c r="H14" s="91" t="s">
        <v>18</v>
      </c>
      <c r="Z14" s="275"/>
      <c r="AA14" s="276"/>
      <c r="AB14" s="275"/>
    </row>
    <row r="15" spans="1:28" ht="15">
      <c r="A15" s="94"/>
      <c r="B15" s="3"/>
      <c r="C15" s="3"/>
      <c r="D15" s="4"/>
      <c r="E15" s="3"/>
      <c r="F15" s="50"/>
      <c r="G15" s="3"/>
      <c r="H15" s="4"/>
      <c r="Z15" s="277"/>
      <c r="AA15" s="194"/>
      <c r="AB15" s="277"/>
    </row>
    <row r="16" spans="1:28" ht="15">
      <c r="A16" s="3" t="s">
        <v>45</v>
      </c>
      <c r="B16" s="99">
        <v>134317</v>
      </c>
      <c r="C16" s="10"/>
      <c r="D16" s="99">
        <v>114691</v>
      </c>
      <c r="E16" s="10"/>
      <c r="F16" s="73">
        <f>B16</f>
        <v>134317</v>
      </c>
      <c r="G16" s="10"/>
      <c r="H16" s="99">
        <v>114691</v>
      </c>
      <c r="Z16" s="73"/>
      <c r="AA16" s="28"/>
      <c r="AB16" s="99"/>
    </row>
    <row r="17" spans="1:28" s="77" customFormat="1" ht="15">
      <c r="A17" s="3"/>
      <c r="B17" s="99"/>
      <c r="C17" s="10"/>
      <c r="D17" s="99"/>
      <c r="E17" s="10"/>
      <c r="F17" s="73"/>
      <c r="G17" s="10"/>
      <c r="H17" s="99"/>
      <c r="Z17" s="73"/>
      <c r="AA17" s="28"/>
      <c r="AB17" s="99"/>
    </row>
    <row r="18" spans="1:28" s="77" customFormat="1" ht="15">
      <c r="A18" s="3" t="s">
        <v>217</v>
      </c>
      <c r="B18" s="57">
        <f>-100935</f>
        <v>-100935</v>
      </c>
      <c r="C18" s="10"/>
      <c r="D18" s="57">
        <f>-96952</f>
        <v>-96952</v>
      </c>
      <c r="E18" s="28"/>
      <c r="F18" s="48">
        <f>B18</f>
        <v>-100935</v>
      </c>
      <c r="G18" s="28"/>
      <c r="H18" s="57">
        <f>-96952</f>
        <v>-96952</v>
      </c>
      <c r="Z18" s="73"/>
      <c r="AA18" s="28"/>
      <c r="AB18" s="99"/>
    </row>
    <row r="19" spans="1:28" s="77" customFormat="1" ht="15">
      <c r="A19" s="3"/>
      <c r="B19" s="236"/>
      <c r="C19" s="237"/>
      <c r="D19" s="236"/>
      <c r="E19" s="10"/>
      <c r="F19" s="73"/>
      <c r="G19" s="10"/>
      <c r="H19" s="99"/>
      <c r="Z19" s="73"/>
      <c r="AA19" s="28"/>
      <c r="AB19" s="99"/>
    </row>
    <row r="20" spans="1:28" s="77" customFormat="1" ht="15">
      <c r="A20" s="94" t="s">
        <v>218</v>
      </c>
      <c r="B20" s="28">
        <f>SUM(B16:B18)</f>
        <v>33382</v>
      </c>
      <c r="C20" s="237"/>
      <c r="D20" s="28">
        <f>SUM(D16:D18)</f>
        <v>17739</v>
      </c>
      <c r="E20" s="237"/>
      <c r="F20" s="73">
        <f>SUM(F16:F18)</f>
        <v>33382</v>
      </c>
      <c r="G20" s="237"/>
      <c r="H20" s="28">
        <f>SUM(H16:H18)</f>
        <v>17739</v>
      </c>
      <c r="J20" s="237"/>
      <c r="Z20" s="73"/>
      <c r="AA20" s="236"/>
      <c r="AB20" s="28"/>
    </row>
    <row r="21" spans="1:28" ht="15">
      <c r="A21" s="94"/>
      <c r="B21" s="10"/>
      <c r="C21" s="10"/>
      <c r="D21" s="10"/>
      <c r="E21" s="10"/>
      <c r="F21" s="69"/>
      <c r="G21" s="10"/>
      <c r="H21" s="10"/>
      <c r="Z21" s="73"/>
      <c r="AA21" s="28"/>
      <c r="AB21" s="28"/>
    </row>
    <row r="22" spans="1:28" ht="15">
      <c r="A22" s="3" t="s">
        <v>219</v>
      </c>
      <c r="B22" s="99">
        <f>1881</f>
        <v>1881</v>
      </c>
      <c r="C22" s="10"/>
      <c r="D22" s="99">
        <v>2852</v>
      </c>
      <c r="E22" s="10"/>
      <c r="F22" s="69">
        <f>B22</f>
        <v>1881</v>
      </c>
      <c r="G22" s="10"/>
      <c r="H22" s="10">
        <f>2852</f>
        <v>2852</v>
      </c>
      <c r="I22" s="49"/>
      <c r="K22" s="49"/>
      <c r="M22" s="49"/>
      <c r="O22" s="49"/>
      <c r="Z22" s="73"/>
      <c r="AA22" s="28"/>
      <c r="AB22" s="28"/>
    </row>
    <row r="23" spans="1:28" s="77" customFormat="1" ht="15">
      <c r="A23" s="3"/>
      <c r="B23" s="10"/>
      <c r="C23" s="10"/>
      <c r="D23" s="10"/>
      <c r="E23" s="10"/>
      <c r="F23" s="69"/>
      <c r="G23" s="10"/>
      <c r="H23" s="10"/>
      <c r="I23" s="49"/>
      <c r="K23" s="49"/>
      <c r="M23" s="49"/>
      <c r="O23" s="49"/>
      <c r="Z23" s="73"/>
      <c r="AA23" s="28"/>
      <c r="AB23" s="28"/>
    </row>
    <row r="24" spans="1:28" ht="15">
      <c r="A24" s="3" t="s">
        <v>220</v>
      </c>
      <c r="B24" s="99">
        <f>-4789</f>
        <v>-4789</v>
      </c>
      <c r="C24" s="10"/>
      <c r="D24" s="99">
        <f>-4979</f>
        <v>-4979</v>
      </c>
      <c r="E24" s="10"/>
      <c r="F24" s="69">
        <f>B24</f>
        <v>-4789</v>
      </c>
      <c r="G24" s="10"/>
      <c r="H24" s="10">
        <f>-4979</f>
        <v>-4979</v>
      </c>
      <c r="Z24" s="73"/>
      <c r="AA24" s="28"/>
      <c r="AB24" s="28"/>
    </row>
    <row r="25" spans="1:28" s="77" customFormat="1" ht="15">
      <c r="A25" s="3"/>
      <c r="B25" s="30"/>
      <c r="C25" s="10"/>
      <c r="D25" s="30"/>
      <c r="E25" s="10"/>
      <c r="F25" s="69"/>
      <c r="G25" s="10"/>
      <c r="H25" s="10"/>
      <c r="Z25" s="73"/>
      <c r="AA25" s="28"/>
      <c r="AB25" s="28"/>
    </row>
    <row r="26" spans="1:28" ht="15">
      <c r="A26" s="3" t="s">
        <v>221</v>
      </c>
      <c r="B26" s="57">
        <f>-4072</f>
        <v>-4072</v>
      </c>
      <c r="C26" s="10"/>
      <c r="D26" s="57">
        <f>-5603</f>
        <v>-5603</v>
      </c>
      <c r="E26" s="10"/>
      <c r="F26" s="48">
        <f>B26</f>
        <v>-4072</v>
      </c>
      <c r="G26" s="10"/>
      <c r="H26" s="14">
        <f>-5603</f>
        <v>-5603</v>
      </c>
      <c r="Z26" s="73"/>
      <c r="AA26" s="28"/>
      <c r="AB26" s="28"/>
    </row>
    <row r="27" spans="1:28" ht="15">
      <c r="A27" s="94"/>
      <c r="B27" s="10"/>
      <c r="C27" s="10"/>
      <c r="D27" s="10"/>
      <c r="E27" s="10"/>
      <c r="F27" s="69"/>
      <c r="G27" s="10"/>
      <c r="H27" s="10"/>
      <c r="Z27" s="73"/>
      <c r="AA27" s="28"/>
      <c r="AB27" s="28"/>
    </row>
    <row r="28" spans="1:28" ht="15">
      <c r="A28" s="94" t="s">
        <v>170</v>
      </c>
      <c r="B28" s="12">
        <f>SUM(B20:B26)</f>
        <v>26402</v>
      </c>
      <c r="C28" s="12"/>
      <c r="D28" s="12">
        <f>SUM(D20:D26)</f>
        <v>10009</v>
      </c>
      <c r="E28" s="12"/>
      <c r="F28" s="227">
        <f>SUM(F20:F26)</f>
        <v>26402</v>
      </c>
      <c r="G28" s="12"/>
      <c r="H28" s="12">
        <f>SUM(H20:H26)</f>
        <v>10009</v>
      </c>
      <c r="Z28" s="230"/>
      <c r="AA28" s="104"/>
      <c r="AB28" s="104"/>
    </row>
    <row r="29" spans="1:28" ht="15">
      <c r="A29" s="3"/>
      <c r="B29" s="12"/>
      <c r="C29" s="12"/>
      <c r="D29" s="12"/>
      <c r="E29" s="12"/>
      <c r="F29" s="227"/>
      <c r="G29" s="12"/>
      <c r="H29" s="12"/>
      <c r="Z29" s="230"/>
      <c r="AA29" s="104"/>
      <c r="AB29" s="104"/>
    </row>
    <row r="30" spans="1:28" s="77" customFormat="1" ht="15">
      <c r="A30" s="3" t="s">
        <v>222</v>
      </c>
      <c r="B30" s="57">
        <f>-591</f>
        <v>-591</v>
      </c>
      <c r="C30" s="10"/>
      <c r="D30" s="57">
        <f>-615</f>
        <v>-615</v>
      </c>
      <c r="E30" s="12"/>
      <c r="F30" s="228">
        <f>B30</f>
        <v>-591</v>
      </c>
      <c r="G30" s="12"/>
      <c r="H30" s="100">
        <f>-615</f>
        <v>-615</v>
      </c>
      <c r="K30" s="29"/>
      <c r="Z30" s="230"/>
      <c r="AA30" s="104"/>
      <c r="AB30" s="104"/>
    </row>
    <row r="31" spans="1:28" s="77" customFormat="1" ht="15">
      <c r="A31" s="3"/>
      <c r="B31" s="12"/>
      <c r="C31" s="12"/>
      <c r="D31" s="12"/>
      <c r="E31" s="12"/>
      <c r="F31" s="227"/>
      <c r="G31" s="12"/>
      <c r="H31" s="12"/>
      <c r="Z31" s="230"/>
      <c r="AA31" s="104"/>
      <c r="AB31" s="104"/>
    </row>
    <row r="32" spans="1:28" s="77" customFormat="1" ht="15">
      <c r="A32" s="94" t="s">
        <v>63</v>
      </c>
      <c r="B32" s="12">
        <f>SUM(B28:B30)</f>
        <v>25811</v>
      </c>
      <c r="C32" s="12"/>
      <c r="D32" s="12">
        <f>SUM(D28:D30)</f>
        <v>9394</v>
      </c>
      <c r="E32" s="12"/>
      <c r="F32" s="227">
        <f>SUM(F28:F30)</f>
        <v>25811</v>
      </c>
      <c r="G32" s="12"/>
      <c r="H32" s="12">
        <f>SUM(H28:H30)</f>
        <v>9394</v>
      </c>
      <c r="Z32" s="230"/>
      <c r="AA32" s="104"/>
      <c r="AB32" s="104"/>
    </row>
    <row r="33" spans="1:28" s="77" customFormat="1" ht="15">
      <c r="A33" s="94"/>
      <c r="B33" s="12"/>
      <c r="C33" s="12"/>
      <c r="D33" s="12"/>
      <c r="E33" s="12"/>
      <c r="F33" s="227"/>
      <c r="G33" s="12"/>
      <c r="H33" s="12"/>
      <c r="Z33" s="230"/>
      <c r="AA33" s="104"/>
      <c r="AB33" s="104"/>
    </row>
    <row r="34" spans="1:28" ht="15">
      <c r="A34" s="3" t="s">
        <v>39</v>
      </c>
      <c r="B34" s="57">
        <f>-1939</f>
        <v>-1939</v>
      </c>
      <c r="C34" s="10"/>
      <c r="D34" s="57">
        <f>-1657</f>
        <v>-1657</v>
      </c>
      <c r="E34" s="10"/>
      <c r="F34" s="48">
        <f>B34</f>
        <v>-1939</v>
      </c>
      <c r="G34" s="10"/>
      <c r="H34" s="14">
        <f>-1657</f>
        <v>-1657</v>
      </c>
      <c r="Z34" s="73"/>
      <c r="AA34" s="28"/>
      <c r="AB34" s="28"/>
    </row>
    <row r="35" spans="1:28" ht="15">
      <c r="A35" s="94"/>
      <c r="B35" s="28"/>
      <c r="C35" s="28"/>
      <c r="D35" s="28"/>
      <c r="E35" s="28"/>
      <c r="F35" s="73"/>
      <c r="G35" s="28"/>
      <c r="H35" s="28"/>
      <c r="Z35" s="73"/>
      <c r="AA35" s="28"/>
      <c r="AB35" s="28"/>
    </row>
    <row r="36" spans="1:28" ht="15">
      <c r="A36" s="94" t="s">
        <v>166</v>
      </c>
      <c r="B36" s="14">
        <f>SUM(B32:B34)</f>
        <v>23872</v>
      </c>
      <c r="C36" s="10"/>
      <c r="D36" s="14">
        <f>SUM(D32:D34)</f>
        <v>7737</v>
      </c>
      <c r="E36" s="10"/>
      <c r="F36" s="48">
        <f>SUM(F32:F34)</f>
        <v>23872</v>
      </c>
      <c r="G36" s="10"/>
      <c r="H36" s="14">
        <f>SUM(H32:H34)</f>
        <v>7737</v>
      </c>
      <c r="Z36" s="73"/>
      <c r="AA36" s="28"/>
      <c r="AB36" s="28"/>
    </row>
    <row r="37" spans="1:28" ht="15">
      <c r="A37" s="94"/>
      <c r="B37" s="10"/>
      <c r="C37" s="10"/>
      <c r="D37" s="10"/>
      <c r="E37" s="10"/>
      <c r="F37" s="69"/>
      <c r="G37" s="10"/>
      <c r="H37" s="10"/>
      <c r="Z37" s="73"/>
      <c r="AA37" s="28"/>
      <c r="AB37" s="28"/>
    </row>
    <row r="38" spans="1:28" s="77" customFormat="1" ht="15">
      <c r="A38" s="94" t="s">
        <v>275</v>
      </c>
      <c r="B38" s="10"/>
      <c r="C38" s="10"/>
      <c r="D38" s="10"/>
      <c r="E38" s="10"/>
      <c r="F38" s="69"/>
      <c r="G38" s="10"/>
      <c r="H38" s="10"/>
      <c r="Z38" s="73"/>
      <c r="AA38" s="28"/>
      <c r="AB38" s="28"/>
    </row>
    <row r="39" spans="1:28" s="77" customFormat="1" ht="15">
      <c r="A39" s="3" t="s">
        <v>223</v>
      </c>
      <c r="B39" s="10"/>
      <c r="C39" s="10"/>
      <c r="D39" s="10"/>
      <c r="E39" s="10"/>
      <c r="F39" s="69"/>
      <c r="G39" s="10"/>
      <c r="H39" s="10"/>
      <c r="O39" s="77" t="s">
        <v>252</v>
      </c>
      <c r="P39" s="77" t="s">
        <v>253</v>
      </c>
      <c r="Q39" s="77" t="s">
        <v>248</v>
      </c>
      <c r="R39" s="77" t="s">
        <v>250</v>
      </c>
      <c r="S39" s="77" t="s">
        <v>251</v>
      </c>
      <c r="T39" s="77" t="s">
        <v>254</v>
      </c>
      <c r="U39" s="77" t="s">
        <v>53</v>
      </c>
      <c r="Z39" s="73"/>
      <c r="AA39" s="28"/>
      <c r="AB39" s="28"/>
    </row>
    <row r="40" spans="1:28" s="77" customFormat="1" ht="15">
      <c r="A40" s="3" t="s">
        <v>224</v>
      </c>
      <c r="B40" s="14">
        <v>4033</v>
      </c>
      <c r="C40" s="10"/>
      <c r="D40" s="14">
        <f>-4383</f>
        <v>-4383</v>
      </c>
      <c r="E40" s="10"/>
      <c r="F40" s="48">
        <f>B40</f>
        <v>4033</v>
      </c>
      <c r="G40" s="10"/>
      <c r="H40" s="14">
        <f>-4383</f>
        <v>-4383</v>
      </c>
      <c r="I40" s="175"/>
      <c r="K40" s="175"/>
      <c r="M40" s="77" t="s">
        <v>249</v>
      </c>
      <c r="N40"/>
      <c r="O40" s="131">
        <f>'EQ'!B17</f>
        <v>136267</v>
      </c>
      <c r="P40" s="131">
        <f>'EQ'!C17</f>
        <v>2513</v>
      </c>
      <c r="Q40" s="131">
        <f>'EQ'!D17</f>
        <v>-23639</v>
      </c>
      <c r="R40" s="131">
        <f>'EQ'!E17</f>
        <v>177504</v>
      </c>
      <c r="S40" s="131">
        <f>SUM(O40:R40)</f>
        <v>292645</v>
      </c>
      <c r="T40" s="131">
        <f>'EQ'!G17</f>
        <v>31195</v>
      </c>
      <c r="U40" s="29">
        <f>S40+T40</f>
        <v>323840</v>
      </c>
      <c r="Z40" s="73"/>
      <c r="AA40" s="28"/>
      <c r="AB40" s="28"/>
    </row>
    <row r="41" spans="1:28" s="77" customFormat="1" ht="15">
      <c r="A41" s="94"/>
      <c r="B41" s="10"/>
      <c r="C41" s="10"/>
      <c r="D41" s="10"/>
      <c r="E41" s="10"/>
      <c r="F41" s="69"/>
      <c r="G41" s="10"/>
      <c r="H41" s="10"/>
      <c r="M41" s="77" t="s">
        <v>246</v>
      </c>
      <c r="N41"/>
      <c r="O41" s="176"/>
      <c r="P41" s="177"/>
      <c r="Q41" s="177"/>
      <c r="R41" s="177">
        <f>F65</f>
        <v>16802</v>
      </c>
      <c r="S41" s="177">
        <f>SUM(O41:R41)</f>
        <v>16802</v>
      </c>
      <c r="T41" s="177">
        <f>F66</f>
        <v>7070</v>
      </c>
      <c r="U41" s="178">
        <f>S41+T41</f>
        <v>23872</v>
      </c>
      <c r="Z41" s="73"/>
      <c r="AA41" s="28"/>
      <c r="AB41" s="28"/>
    </row>
    <row r="42" spans="1:28" s="77" customFormat="1" ht="15">
      <c r="A42" s="94" t="s">
        <v>360</v>
      </c>
      <c r="B42" s="10"/>
      <c r="C42" s="10"/>
      <c r="D42" s="10"/>
      <c r="E42" s="10"/>
      <c r="F42" s="69"/>
      <c r="G42" s="10"/>
      <c r="H42" s="10"/>
      <c r="M42" s="77" t="s">
        <v>247</v>
      </c>
      <c r="N42"/>
      <c r="O42" s="179"/>
      <c r="P42" s="132"/>
      <c r="Q42" s="132">
        <f>-2632</f>
        <v>-2632</v>
      </c>
      <c r="R42" s="132"/>
      <c r="S42" s="132">
        <f>SUM(O42:R42)</f>
        <v>-2632</v>
      </c>
      <c r="T42" s="132">
        <v>-1751</v>
      </c>
      <c r="U42" s="180">
        <f>S42+T42</f>
        <v>-4383</v>
      </c>
      <c r="W42" s="182">
        <f>T42/U42</f>
        <v>0.39949806068902577</v>
      </c>
      <c r="Z42" s="73"/>
      <c r="AA42" s="28"/>
      <c r="AB42" s="28"/>
    </row>
    <row r="43" spans="1:28" s="77" customFormat="1" ht="15.75" thickBot="1">
      <c r="A43" s="94" t="s">
        <v>225</v>
      </c>
      <c r="B43" s="101">
        <f>SUM(B36:B40)</f>
        <v>27905</v>
      </c>
      <c r="C43" s="10"/>
      <c r="D43" s="101">
        <f>SUM(D36:D40)</f>
        <v>3354</v>
      </c>
      <c r="E43" s="10"/>
      <c r="F43" s="229">
        <f>SUM(F36:F40)</f>
        <v>27905</v>
      </c>
      <c r="G43" s="10"/>
      <c r="H43" s="101">
        <f>SUM(H36:H40)</f>
        <v>3354</v>
      </c>
      <c r="M43" s="77" t="s">
        <v>256</v>
      </c>
      <c r="N43"/>
      <c r="O43" s="29">
        <f>SUM(O41:O42)</f>
        <v>0</v>
      </c>
      <c r="P43" s="29">
        <f aca="true" t="shared" si="0" ref="P43:U43">SUM(P41:P42)</f>
        <v>0</v>
      </c>
      <c r="Q43" s="29">
        <f t="shared" si="0"/>
        <v>-2632</v>
      </c>
      <c r="R43" s="29">
        <f t="shared" si="0"/>
        <v>16802</v>
      </c>
      <c r="S43" s="29">
        <f t="shared" si="0"/>
        <v>14170</v>
      </c>
      <c r="T43" s="29">
        <f t="shared" si="0"/>
        <v>5319</v>
      </c>
      <c r="U43" s="29">
        <f t="shared" si="0"/>
        <v>19489</v>
      </c>
      <c r="Z43" s="73"/>
      <c r="AA43" s="28"/>
      <c r="AB43" s="28"/>
    </row>
    <row r="44" spans="1:28" s="77" customFormat="1" ht="15">
      <c r="A44" s="3"/>
      <c r="B44" s="3"/>
      <c r="C44" s="3"/>
      <c r="D44" s="3"/>
      <c r="E44" s="3"/>
      <c r="F44" s="63"/>
      <c r="G44" s="3"/>
      <c r="H44" s="3"/>
      <c r="Z44" s="194"/>
      <c r="AA44" s="194"/>
      <c r="AB44" s="194"/>
    </row>
    <row r="45" spans="1:28" s="77" customFormat="1" ht="15">
      <c r="A45" s="3"/>
      <c r="B45" s="3"/>
      <c r="C45" s="3"/>
      <c r="D45" s="3"/>
      <c r="E45" s="3"/>
      <c r="F45" s="63"/>
      <c r="G45" s="3"/>
      <c r="H45" s="3"/>
      <c r="Z45" s="13"/>
      <c r="AA45" s="13"/>
      <c r="AB45" s="13"/>
    </row>
    <row r="46" spans="1:28" s="77" customFormat="1" ht="15">
      <c r="A46" s="3"/>
      <c r="B46" s="3"/>
      <c r="C46" s="3"/>
      <c r="D46" s="3"/>
      <c r="E46" s="3"/>
      <c r="F46" s="63"/>
      <c r="G46" s="3"/>
      <c r="H46" s="3"/>
      <c r="Z46" s="13"/>
      <c r="AA46" s="13"/>
      <c r="AB46" s="13"/>
    </row>
    <row r="47" spans="1:28" s="77" customFormat="1" ht="15">
      <c r="A47" s="3"/>
      <c r="B47" s="3"/>
      <c r="C47" s="3"/>
      <c r="D47" s="3"/>
      <c r="E47" s="3"/>
      <c r="F47" s="63"/>
      <c r="G47" s="3"/>
      <c r="H47" s="3"/>
      <c r="Z47" s="13"/>
      <c r="AA47" s="13"/>
      <c r="AB47" s="13"/>
    </row>
    <row r="48" spans="1:28" s="77" customFormat="1" ht="15">
      <c r="A48" s="3"/>
      <c r="B48" s="3"/>
      <c r="C48" s="3"/>
      <c r="D48" s="3"/>
      <c r="E48" s="3"/>
      <c r="F48" s="3"/>
      <c r="G48" s="3"/>
      <c r="H48" s="3"/>
      <c r="Z48" s="13"/>
      <c r="AA48" s="13"/>
      <c r="AB48" s="13"/>
    </row>
    <row r="49" spans="1:28" s="77" customFormat="1" ht="15">
      <c r="A49" s="3"/>
      <c r="B49" s="3"/>
      <c r="C49" s="3"/>
      <c r="D49" s="3"/>
      <c r="E49" s="3"/>
      <c r="F49" s="3"/>
      <c r="G49" s="3"/>
      <c r="H49" s="3"/>
      <c r="Z49" s="13"/>
      <c r="AA49" s="13"/>
      <c r="AB49" s="13"/>
    </row>
    <row r="50" spans="1:28" s="77" customFormat="1" ht="15">
      <c r="A50" s="3"/>
      <c r="B50" s="3"/>
      <c r="C50" s="3"/>
      <c r="D50" s="3"/>
      <c r="E50" s="3"/>
      <c r="F50" s="3"/>
      <c r="G50" s="3"/>
      <c r="H50" s="3"/>
      <c r="Z50" s="13"/>
      <c r="AA50" s="13"/>
      <c r="AB50" s="13"/>
    </row>
    <row r="51" spans="1:28" s="77" customFormat="1" ht="11.25" customHeight="1">
      <c r="A51" s="3"/>
      <c r="B51" s="3"/>
      <c r="C51" s="3"/>
      <c r="D51" s="3"/>
      <c r="E51" s="3"/>
      <c r="F51" s="3"/>
      <c r="G51" s="3"/>
      <c r="H51" s="3"/>
      <c r="Z51" s="13"/>
      <c r="AA51" s="13"/>
      <c r="AB51" s="13"/>
    </row>
    <row r="52" spans="1:28" s="77" customFormat="1" ht="15.75" customHeight="1">
      <c r="A52" s="306" t="s">
        <v>300</v>
      </c>
      <c r="B52" s="306"/>
      <c r="C52" s="306"/>
      <c r="D52" s="306"/>
      <c r="E52" s="306"/>
      <c r="F52" s="306"/>
      <c r="G52" s="306"/>
      <c r="H52" s="306"/>
      <c r="Z52" s="13"/>
      <c r="AA52" s="13"/>
      <c r="AB52" s="13"/>
    </row>
    <row r="53" spans="1:28" s="77" customFormat="1" ht="15.75" customHeight="1" thickBot="1">
      <c r="A53" s="307"/>
      <c r="B53" s="307"/>
      <c r="C53" s="307"/>
      <c r="D53" s="307"/>
      <c r="E53" s="307"/>
      <c r="F53" s="307"/>
      <c r="G53" s="307"/>
      <c r="H53" s="307"/>
      <c r="Z53" s="13"/>
      <c r="AA53" s="13"/>
      <c r="AB53" s="13"/>
    </row>
    <row r="54" spans="13:28" s="77" customFormat="1" ht="15">
      <c r="M54" s="77" t="s">
        <v>246</v>
      </c>
      <c r="O54" s="176">
        <v>0</v>
      </c>
      <c r="P54" s="177">
        <v>0</v>
      </c>
      <c r="Q54" s="177">
        <v>0</v>
      </c>
      <c r="R54" s="177">
        <v>6424</v>
      </c>
      <c r="S54" s="177">
        <f>SUM(O54:R54)</f>
        <v>6424</v>
      </c>
      <c r="T54" s="177">
        <v>-196</v>
      </c>
      <c r="U54" s="178">
        <f>S54+T54</f>
        <v>6228</v>
      </c>
      <c r="Z54" s="13"/>
      <c r="AA54" s="13"/>
      <c r="AB54" s="13"/>
    </row>
    <row r="55" spans="1:28" s="77" customFormat="1" ht="15">
      <c r="A55" s="305" t="str">
        <f>A7&amp;" (CONT'D)"</f>
        <v>CONDENSED CONSOLIDATED STATEMENT OF COMPREHENSIVE INCOME (CONT'D)</v>
      </c>
      <c r="B55" s="305"/>
      <c r="C55" s="305"/>
      <c r="D55" s="305"/>
      <c r="E55" s="305"/>
      <c r="F55" s="305"/>
      <c r="G55" s="305"/>
      <c r="H55" s="305"/>
      <c r="M55" s="77" t="s">
        <v>247</v>
      </c>
      <c r="O55" s="179"/>
      <c r="P55" s="132"/>
      <c r="Q55" s="132">
        <v>-966</v>
      </c>
      <c r="R55" s="132"/>
      <c r="S55" s="132">
        <f>SUM(O55:R55)</f>
        <v>-966</v>
      </c>
      <c r="T55" s="132">
        <v>-644</v>
      </c>
      <c r="U55" s="180">
        <f>S55+T55</f>
        <v>-1610</v>
      </c>
      <c r="Z55" s="13"/>
      <c r="AA55" s="13"/>
      <c r="AB55" s="13"/>
    </row>
    <row r="56" spans="1:28" s="77" customFormat="1" ht="15">
      <c r="A56" s="305" t="str">
        <f>A8</f>
        <v>FOR THE QUARTER ENDED  30 SEPTEMBER 2011 - UNAUDITED</v>
      </c>
      <c r="B56" s="305"/>
      <c r="C56" s="305"/>
      <c r="D56" s="305"/>
      <c r="E56" s="305"/>
      <c r="F56" s="305"/>
      <c r="G56" s="305"/>
      <c r="H56" s="305"/>
      <c r="M56" s="77" t="s">
        <v>256</v>
      </c>
      <c r="O56" s="29">
        <f aca="true" t="shared" si="1" ref="O56:U56">SUM(O54:O55)</f>
        <v>0</v>
      </c>
      <c r="P56" s="29">
        <f t="shared" si="1"/>
        <v>0</v>
      </c>
      <c r="Q56" s="29">
        <f t="shared" si="1"/>
        <v>-966</v>
      </c>
      <c r="R56" s="29">
        <f t="shared" si="1"/>
        <v>6424</v>
      </c>
      <c r="S56" s="29">
        <f t="shared" si="1"/>
        <v>5458</v>
      </c>
      <c r="T56" s="29">
        <f t="shared" si="1"/>
        <v>-840</v>
      </c>
      <c r="U56" s="29">
        <f t="shared" si="1"/>
        <v>4618</v>
      </c>
      <c r="Z56" s="13"/>
      <c r="AA56" s="13"/>
      <c r="AB56" s="13"/>
    </row>
    <row r="57" spans="1:28" s="77" customFormat="1" ht="15">
      <c r="A57" s="94"/>
      <c r="B57" s="3"/>
      <c r="C57" s="3"/>
      <c r="D57" s="4"/>
      <c r="E57" s="3"/>
      <c r="F57" s="4"/>
      <c r="G57" s="3"/>
      <c r="H57" s="4"/>
      <c r="Z57" s="13"/>
      <c r="AA57" s="13"/>
      <c r="AB57" s="13"/>
    </row>
    <row r="58" spans="1:28" s="77" customFormat="1" ht="15.75" thickBot="1">
      <c r="A58" s="3"/>
      <c r="B58" s="3"/>
      <c r="C58" s="3"/>
      <c r="D58" s="3"/>
      <c r="E58" s="3"/>
      <c r="F58" s="3"/>
      <c r="G58" s="3"/>
      <c r="H58" s="3"/>
      <c r="M58" s="77" t="s">
        <v>255</v>
      </c>
      <c r="O58" s="181" t="e">
        <f>#REF!+O56</f>
        <v>#REF!</v>
      </c>
      <c r="P58" s="181" t="e">
        <f>#REF!+P56</f>
        <v>#REF!</v>
      </c>
      <c r="Q58" s="181" t="e">
        <f>#REF!+Q56</f>
        <v>#REF!</v>
      </c>
      <c r="R58" s="181" t="e">
        <f>#REF!+R56</f>
        <v>#REF!</v>
      </c>
      <c r="S58" s="181" t="e">
        <f>#REF!+S56</f>
        <v>#REF!</v>
      </c>
      <c r="T58" s="181" t="e">
        <f>#REF!+T56</f>
        <v>#REF!</v>
      </c>
      <c r="U58" s="181" t="e">
        <f>#REF!+U56</f>
        <v>#REF!</v>
      </c>
      <c r="Z58" s="13"/>
      <c r="AA58" s="13"/>
      <c r="AB58" s="13"/>
    </row>
    <row r="59" spans="1:28" s="77" customFormat="1" ht="15.75" thickTop="1">
      <c r="A59" s="94"/>
      <c r="B59" s="303" t="s">
        <v>234</v>
      </c>
      <c r="C59" s="303"/>
      <c r="D59" s="303"/>
      <c r="E59" s="3"/>
      <c r="F59" s="303" t="s">
        <v>235</v>
      </c>
      <c r="G59" s="303"/>
      <c r="H59" s="303"/>
      <c r="Z59" s="304"/>
      <c r="AA59" s="304"/>
      <c r="AB59" s="304"/>
    </row>
    <row r="60" spans="1:28" s="25" customFormat="1" ht="15">
      <c r="A60" s="116"/>
      <c r="B60" s="303" t="str">
        <f>B12</f>
        <v>3 months ended</v>
      </c>
      <c r="C60" s="303"/>
      <c r="D60" s="303"/>
      <c r="E60" s="91"/>
      <c r="F60" s="303" t="str">
        <f>F12</f>
        <v>3 months ended</v>
      </c>
      <c r="G60" s="303"/>
      <c r="H60" s="303"/>
      <c r="Z60" s="304"/>
      <c r="AA60" s="304"/>
      <c r="AB60" s="304"/>
    </row>
    <row r="61" spans="1:28" s="25" customFormat="1" ht="15">
      <c r="A61" s="94"/>
      <c r="B61" s="91" t="str">
        <f>B13</f>
        <v>30.9.11</v>
      </c>
      <c r="C61" s="91"/>
      <c r="D61" s="184" t="str">
        <f>D13</f>
        <v>30.9.10</v>
      </c>
      <c r="E61" s="91"/>
      <c r="F61" s="184" t="str">
        <f>F13</f>
        <v>30.9.11</v>
      </c>
      <c r="G61" s="91"/>
      <c r="H61" s="184" t="str">
        <f>H13</f>
        <v>30.9.10</v>
      </c>
      <c r="Z61" s="275"/>
      <c r="AA61" s="275"/>
      <c r="AB61" s="275"/>
    </row>
    <row r="62" spans="1:28" s="25" customFormat="1" ht="15">
      <c r="A62" s="116"/>
      <c r="B62" s="91" t="s">
        <v>18</v>
      </c>
      <c r="C62" s="94"/>
      <c r="D62" s="91" t="s">
        <v>18</v>
      </c>
      <c r="E62" s="94"/>
      <c r="F62" s="239" t="s">
        <v>18</v>
      </c>
      <c r="G62" s="68"/>
      <c r="H62" s="239" t="s">
        <v>18</v>
      </c>
      <c r="Z62" s="275"/>
      <c r="AA62" s="276"/>
      <c r="AB62" s="275"/>
    </row>
    <row r="63" spans="1:28" s="25" customFormat="1" ht="15">
      <c r="A63" s="116"/>
      <c r="B63" s="91"/>
      <c r="C63" s="94"/>
      <c r="D63" s="91"/>
      <c r="E63" s="94"/>
      <c r="F63" s="239"/>
      <c r="G63" s="68"/>
      <c r="H63" s="239"/>
      <c r="Z63" s="275"/>
      <c r="AA63" s="276"/>
      <c r="AB63" s="275"/>
    </row>
    <row r="64" spans="1:28" ht="15">
      <c r="A64" s="102" t="s">
        <v>227</v>
      </c>
      <c r="B64" s="28"/>
      <c r="C64" s="28"/>
      <c r="D64" s="28"/>
      <c r="E64" s="28"/>
      <c r="F64" s="73"/>
      <c r="G64" s="73"/>
      <c r="H64" s="73"/>
      <c r="Z64" s="28"/>
      <c r="AA64" s="28"/>
      <c r="AB64" s="28"/>
    </row>
    <row r="65" spans="1:28" ht="15">
      <c r="A65" s="103" t="s">
        <v>284</v>
      </c>
      <c r="B65" s="28">
        <v>16802</v>
      </c>
      <c r="C65" s="28"/>
      <c r="D65" s="28">
        <v>6551</v>
      </c>
      <c r="E65" s="28"/>
      <c r="F65" s="73">
        <f>B65</f>
        <v>16802</v>
      </c>
      <c r="G65" s="73"/>
      <c r="H65" s="73">
        <v>6551</v>
      </c>
      <c r="Z65" s="73"/>
      <c r="AA65" s="28"/>
      <c r="AB65" s="28"/>
    </row>
    <row r="66" spans="1:28" ht="15">
      <c r="A66" s="103" t="s">
        <v>228</v>
      </c>
      <c r="B66" s="104">
        <v>7070</v>
      </c>
      <c r="C66" s="104"/>
      <c r="D66" s="104">
        <v>1186</v>
      </c>
      <c r="E66" s="104"/>
      <c r="F66" s="230">
        <f>B66</f>
        <v>7070</v>
      </c>
      <c r="G66" s="230"/>
      <c r="H66" s="230">
        <v>1186</v>
      </c>
      <c r="Z66" s="230"/>
      <c r="AA66" s="104"/>
      <c r="AB66" s="104"/>
    </row>
    <row r="67" spans="1:28" ht="15">
      <c r="A67" s="94"/>
      <c r="B67" s="108"/>
      <c r="C67" s="28"/>
      <c r="D67" s="109"/>
      <c r="E67" s="28"/>
      <c r="F67" s="231"/>
      <c r="G67" s="73"/>
      <c r="H67" s="231"/>
      <c r="Z67" s="73"/>
      <c r="AA67" s="28"/>
      <c r="AB67" s="28"/>
    </row>
    <row r="68" spans="1:28" ht="15.75" thickBot="1">
      <c r="A68" s="102" t="s">
        <v>166</v>
      </c>
      <c r="B68" s="101">
        <f>SUM(B65:B66)</f>
        <v>23872</v>
      </c>
      <c r="C68" s="28"/>
      <c r="D68" s="101">
        <f>SUM(D65:D66)</f>
        <v>7737</v>
      </c>
      <c r="E68" s="28"/>
      <c r="F68" s="229">
        <f>SUM(F65:F66)</f>
        <v>23872</v>
      </c>
      <c r="G68" s="73"/>
      <c r="H68" s="229">
        <f>SUM(H65:H66)</f>
        <v>7737</v>
      </c>
      <c r="Z68" s="73"/>
      <c r="AA68" s="28"/>
      <c r="AB68" s="28"/>
    </row>
    <row r="69" spans="1:28" ht="15">
      <c r="A69" s="94"/>
      <c r="B69" s="28"/>
      <c r="C69" s="28"/>
      <c r="D69" s="28"/>
      <c r="E69" s="28"/>
      <c r="F69" s="73"/>
      <c r="G69" s="73"/>
      <c r="H69" s="73"/>
      <c r="Z69" s="73"/>
      <c r="AA69" s="28"/>
      <c r="AB69" s="28"/>
    </row>
    <row r="70" spans="1:28" s="77" customFormat="1" ht="15">
      <c r="A70" s="102" t="s">
        <v>276</v>
      </c>
      <c r="B70" s="112"/>
      <c r="C70" s="112"/>
      <c r="D70" s="112"/>
      <c r="E70" s="112"/>
      <c r="F70" s="30"/>
      <c r="G70" s="30"/>
      <c r="H70" s="30"/>
      <c r="J70" s="107"/>
      <c r="Z70" s="193"/>
      <c r="AA70" s="114"/>
      <c r="AB70" s="114"/>
    </row>
    <row r="71" spans="1:28" s="77" customFormat="1" ht="15">
      <c r="A71" s="103" t="s">
        <v>284</v>
      </c>
      <c r="B71" s="112">
        <v>19223</v>
      </c>
      <c r="C71" s="112"/>
      <c r="D71" s="112">
        <v>3919</v>
      </c>
      <c r="E71" s="112"/>
      <c r="F71" s="30">
        <f>B71</f>
        <v>19223</v>
      </c>
      <c r="G71" s="30"/>
      <c r="H71" s="30">
        <v>3919</v>
      </c>
      <c r="J71" s="106"/>
      <c r="Z71" s="193"/>
      <c r="AA71" s="114"/>
      <c r="AB71" s="114"/>
    </row>
    <row r="72" spans="1:28" s="46" customFormat="1" ht="15">
      <c r="A72" s="128" t="s">
        <v>228</v>
      </c>
      <c r="B72" s="30">
        <v>8682</v>
      </c>
      <c r="C72" s="30"/>
      <c r="D72" s="30">
        <f>-565</f>
        <v>-565</v>
      </c>
      <c r="E72" s="30"/>
      <c r="F72" s="30">
        <f>B72</f>
        <v>8682</v>
      </c>
      <c r="G72" s="30"/>
      <c r="H72" s="30">
        <f>-565</f>
        <v>-565</v>
      </c>
      <c r="J72" s="196"/>
      <c r="X72" s="58"/>
      <c r="Z72" s="193"/>
      <c r="AA72" s="193"/>
      <c r="AB72" s="193"/>
    </row>
    <row r="73" spans="1:28" s="77" customFormat="1" ht="9.75" customHeight="1">
      <c r="A73" s="103"/>
      <c r="B73" s="113"/>
      <c r="C73" s="112"/>
      <c r="D73" s="113"/>
      <c r="E73" s="112"/>
      <c r="F73" s="109"/>
      <c r="G73" s="30"/>
      <c r="H73" s="109"/>
      <c r="J73" s="106"/>
      <c r="Z73" s="193"/>
      <c r="AA73" s="114"/>
      <c r="AB73" s="114"/>
    </row>
    <row r="74" spans="1:28" s="77" customFormat="1" ht="15">
      <c r="A74" s="102" t="s">
        <v>307</v>
      </c>
      <c r="B74" s="114"/>
      <c r="C74" s="112"/>
      <c r="D74" s="114"/>
      <c r="E74" s="112"/>
      <c r="F74" s="193"/>
      <c r="G74" s="30"/>
      <c r="H74" s="193"/>
      <c r="J74" s="106"/>
      <c r="Z74" s="193"/>
      <c r="AA74" s="114"/>
      <c r="AB74" s="114"/>
    </row>
    <row r="75" spans="1:28" s="77" customFormat="1" ht="15.75" thickBot="1">
      <c r="A75" s="102" t="s">
        <v>226</v>
      </c>
      <c r="B75" s="115">
        <f>SUM(B71:B72)</f>
        <v>27905</v>
      </c>
      <c r="C75" s="112"/>
      <c r="D75" s="115">
        <f>SUM(D71:D72)</f>
        <v>3354</v>
      </c>
      <c r="E75" s="112"/>
      <c r="F75" s="232">
        <f>SUM(F71:F72)</f>
        <v>27905</v>
      </c>
      <c r="G75" s="112"/>
      <c r="H75" s="115">
        <f>SUM(H71:H72)</f>
        <v>3354</v>
      </c>
      <c r="J75" s="106"/>
      <c r="Z75" s="193"/>
      <c r="AA75" s="114"/>
      <c r="AB75" s="114"/>
    </row>
    <row r="76" spans="1:28" s="77" customFormat="1" ht="15">
      <c r="A76" s="102"/>
      <c r="B76" s="111"/>
      <c r="C76" s="111"/>
      <c r="D76" s="111"/>
      <c r="E76" s="111"/>
      <c r="F76" s="233"/>
      <c r="G76" s="111"/>
      <c r="H76" s="111"/>
      <c r="J76" s="106"/>
      <c r="Z76" s="278"/>
      <c r="AA76" s="279"/>
      <c r="AB76" s="279"/>
    </row>
    <row r="77" spans="1:28" s="77" customFormat="1" ht="15">
      <c r="A77" s="102" t="s">
        <v>229</v>
      </c>
      <c r="B77" s="111"/>
      <c r="C77" s="111"/>
      <c r="D77" s="111"/>
      <c r="E77" s="111"/>
      <c r="F77" s="233"/>
      <c r="G77" s="111"/>
      <c r="H77" s="111"/>
      <c r="J77" s="13"/>
      <c r="Z77" s="278"/>
      <c r="AA77" s="279"/>
      <c r="AB77" s="279"/>
    </row>
    <row r="78" spans="1:28" s="77" customFormat="1" ht="15.75" thickBot="1">
      <c r="A78" s="102" t="s">
        <v>285</v>
      </c>
      <c r="B78" s="110">
        <f>B65/('BS'!$E$31*2)*100</f>
        <v>6.165102335855343</v>
      </c>
      <c r="C78" s="111"/>
      <c r="D78" s="110">
        <f>D65/('BS'!$E$31*2)*100</f>
        <v>2.4037367814657986</v>
      </c>
      <c r="E78" s="111"/>
      <c r="F78" s="234">
        <f>F65/('BS'!$E$31*2)*100</f>
        <v>6.165102335855343</v>
      </c>
      <c r="G78" s="111"/>
      <c r="H78" s="110">
        <f>H65/('BS'!$E$31*2)*100</f>
        <v>2.4037367814657986</v>
      </c>
      <c r="J78" s="13"/>
      <c r="Z78" s="278"/>
      <c r="AA78" s="279"/>
      <c r="AB78" s="279"/>
    </row>
    <row r="79" spans="1:28" s="77" customFormat="1" ht="15">
      <c r="A79" s="103"/>
      <c r="B79" s="103"/>
      <c r="C79" s="103"/>
      <c r="D79" s="103"/>
      <c r="E79" s="103"/>
      <c r="F79" s="128"/>
      <c r="G79" s="103"/>
      <c r="H79" s="103"/>
      <c r="J79" s="13"/>
      <c r="Z79" s="280"/>
      <c r="AA79" s="280"/>
      <c r="AB79" s="280"/>
    </row>
    <row r="80" spans="1:28" ht="15">
      <c r="A80" s="55"/>
      <c r="B80" s="105"/>
      <c r="C80" s="105"/>
      <c r="D80" s="105"/>
      <c r="E80" s="105"/>
      <c r="F80" s="235"/>
      <c r="G80" s="105"/>
      <c r="H80" s="105"/>
      <c r="Z80" s="13"/>
      <c r="AA80" s="13"/>
      <c r="AB80" s="13"/>
    </row>
    <row r="81" spans="1:28" ht="15">
      <c r="A81" s="3"/>
      <c r="B81" s="3"/>
      <c r="C81" s="3"/>
      <c r="D81" s="3"/>
      <c r="E81" s="3"/>
      <c r="F81" s="63"/>
      <c r="G81" s="3"/>
      <c r="H81" s="3"/>
      <c r="Z81" s="13"/>
      <c r="AA81" s="13"/>
      <c r="AB81" s="13"/>
    </row>
    <row r="82" spans="1:28" ht="15">
      <c r="A82" s="3"/>
      <c r="B82" s="3"/>
      <c r="C82" s="3"/>
      <c r="D82" s="3"/>
      <c r="E82" s="3"/>
      <c r="F82" s="63"/>
      <c r="G82" s="3"/>
      <c r="H82" s="3"/>
      <c r="Z82" s="13"/>
      <c r="AA82" s="13"/>
      <c r="AB82" s="13"/>
    </row>
    <row r="83" spans="1:28" s="77" customFormat="1" ht="15">
      <c r="A83" s="3"/>
      <c r="B83" s="3"/>
      <c r="C83" s="3"/>
      <c r="D83" s="3"/>
      <c r="E83" s="3"/>
      <c r="F83" s="63"/>
      <c r="G83" s="3"/>
      <c r="H83" s="3"/>
      <c r="Z83" s="13"/>
      <c r="AA83" s="13"/>
      <c r="AB83" s="13"/>
    </row>
    <row r="84" spans="1:28" s="77" customFormat="1" ht="15">
      <c r="A84" s="3"/>
      <c r="B84" s="3"/>
      <c r="C84" s="3"/>
      <c r="D84" s="3"/>
      <c r="E84" s="3"/>
      <c r="F84" s="63"/>
      <c r="G84" s="3"/>
      <c r="H84" s="3"/>
      <c r="Z84" s="13"/>
      <c r="AA84" s="13"/>
      <c r="AB84" s="13"/>
    </row>
    <row r="85" spans="1:28" s="77" customFormat="1" ht="15">
      <c r="A85" s="3"/>
      <c r="B85" s="3"/>
      <c r="C85" s="3"/>
      <c r="D85" s="3"/>
      <c r="E85" s="3"/>
      <c r="F85" s="63"/>
      <c r="G85" s="3"/>
      <c r="H85" s="3"/>
      <c r="Z85" s="13"/>
      <c r="AA85" s="13"/>
      <c r="AB85" s="13"/>
    </row>
    <row r="86" spans="1:28" s="77" customFormat="1" ht="15">
      <c r="A86" s="3"/>
      <c r="B86" s="3"/>
      <c r="C86" s="3"/>
      <c r="D86" s="3"/>
      <c r="E86" s="3"/>
      <c r="F86" s="63"/>
      <c r="G86" s="3"/>
      <c r="H86" s="3"/>
      <c r="Z86" s="13"/>
      <c r="AA86" s="13"/>
      <c r="AB86" s="13"/>
    </row>
    <row r="87" spans="1:28" s="77" customFormat="1" ht="15">
      <c r="A87" s="3"/>
      <c r="B87" s="3"/>
      <c r="C87" s="3"/>
      <c r="D87" s="3"/>
      <c r="E87" s="3"/>
      <c r="F87" s="63"/>
      <c r="G87" s="3"/>
      <c r="H87" s="3"/>
      <c r="Z87" s="13"/>
      <c r="AA87" s="13"/>
      <c r="AB87" s="13"/>
    </row>
    <row r="88" spans="1:8" s="77" customFormat="1" ht="15">
      <c r="A88" s="3"/>
      <c r="B88" s="3"/>
      <c r="C88" s="3"/>
      <c r="D88" s="3"/>
      <c r="E88" s="3"/>
      <c r="F88" s="63"/>
      <c r="G88" s="3"/>
      <c r="H88" s="3"/>
    </row>
    <row r="89" spans="1:8" s="77" customFormat="1" ht="15">
      <c r="A89" s="3"/>
      <c r="B89" s="3"/>
      <c r="C89" s="3"/>
      <c r="D89" s="3"/>
      <c r="E89" s="3"/>
      <c r="F89" s="3"/>
      <c r="G89" s="3"/>
      <c r="H89" s="3"/>
    </row>
    <row r="90" spans="1:8" s="77" customFormat="1" ht="15">
      <c r="A90" s="3"/>
      <c r="B90" s="3"/>
      <c r="C90" s="3"/>
      <c r="D90" s="3"/>
      <c r="E90" s="3"/>
      <c r="F90" s="3"/>
      <c r="G90" s="3"/>
      <c r="H90" s="3"/>
    </row>
    <row r="91" spans="1:8" s="77" customFormat="1" ht="15">
      <c r="A91" s="3"/>
      <c r="B91" s="3"/>
      <c r="C91" s="3"/>
      <c r="D91" s="3"/>
      <c r="E91" s="3"/>
      <c r="F91" s="3"/>
      <c r="G91" s="3"/>
      <c r="H91" s="3"/>
    </row>
    <row r="92" spans="1:8" s="77" customFormat="1" ht="15">
      <c r="A92" s="3"/>
      <c r="B92" s="3"/>
      <c r="C92" s="3"/>
      <c r="D92" s="3"/>
      <c r="E92" s="3"/>
      <c r="F92" s="3"/>
      <c r="G92" s="3"/>
      <c r="H92" s="3"/>
    </row>
    <row r="93" spans="1:8" s="77" customFormat="1" ht="15">
      <c r="A93" s="3"/>
      <c r="B93" s="3"/>
      <c r="C93" s="3"/>
      <c r="D93" s="3"/>
      <c r="E93" s="3"/>
      <c r="F93" s="3"/>
      <c r="G93" s="3"/>
      <c r="H93" s="3"/>
    </row>
    <row r="94" spans="1:8" s="77" customFormat="1" ht="15">
      <c r="A94" s="3"/>
      <c r="B94" s="3"/>
      <c r="C94" s="3"/>
      <c r="D94" s="3"/>
      <c r="E94" s="3"/>
      <c r="F94" s="3"/>
      <c r="G94" s="3"/>
      <c r="H94" s="3"/>
    </row>
    <row r="95" spans="1:8" s="77" customFormat="1" ht="15">
      <c r="A95" s="3"/>
      <c r="B95" s="3"/>
      <c r="C95" s="3"/>
      <c r="D95" s="3"/>
      <c r="E95" s="3"/>
      <c r="F95" s="3"/>
      <c r="G95" s="3"/>
      <c r="H95" s="3"/>
    </row>
    <row r="96" spans="1:8" s="77" customFormat="1" ht="15">
      <c r="A96" s="3"/>
      <c r="B96" s="3"/>
      <c r="C96" s="3"/>
      <c r="D96" s="3"/>
      <c r="E96" s="3"/>
      <c r="F96" s="3"/>
      <c r="G96" s="3"/>
      <c r="H96" s="3"/>
    </row>
    <row r="97" spans="1:8" s="77" customFormat="1" ht="15">
      <c r="A97" s="3"/>
      <c r="B97" s="3"/>
      <c r="C97" s="3"/>
      <c r="D97" s="3"/>
      <c r="E97" s="3"/>
      <c r="F97" s="3"/>
      <c r="G97" s="3"/>
      <c r="H97" s="3"/>
    </row>
    <row r="98" spans="1:8" ht="15">
      <c r="A98" s="3"/>
      <c r="B98" s="3"/>
      <c r="C98" s="3"/>
      <c r="D98" s="3"/>
      <c r="E98" s="3"/>
      <c r="F98" s="3"/>
      <c r="G98" s="3"/>
      <c r="H98" s="3"/>
    </row>
    <row r="99" spans="1:8" ht="15">
      <c r="A99" s="3"/>
      <c r="B99" s="3"/>
      <c r="C99" s="3"/>
      <c r="D99" s="3"/>
      <c r="E99" s="3"/>
      <c r="F99" s="3"/>
      <c r="G99" s="3"/>
      <c r="H99" s="3"/>
    </row>
    <row r="100" spans="1:8" ht="15.75" customHeight="1">
      <c r="A100" s="306" t="s">
        <v>300</v>
      </c>
      <c r="B100" s="306"/>
      <c r="C100" s="306"/>
      <c r="D100" s="306"/>
      <c r="E100" s="306"/>
      <c r="F100" s="306"/>
      <c r="G100" s="306"/>
      <c r="H100" s="306"/>
    </row>
    <row r="101" spans="1:8" ht="15.75" thickBot="1">
      <c r="A101" s="307"/>
      <c r="B101" s="307"/>
      <c r="C101" s="307"/>
      <c r="D101" s="307"/>
      <c r="E101" s="307"/>
      <c r="F101" s="307"/>
      <c r="G101" s="307"/>
      <c r="H101" s="307"/>
    </row>
  </sheetData>
  <sheetProtection/>
  <mergeCells count="20">
    <mergeCell ref="A100:H101"/>
    <mergeCell ref="A4:H4"/>
    <mergeCell ref="B60:D60"/>
    <mergeCell ref="F60:H60"/>
    <mergeCell ref="A2:H3"/>
    <mergeCell ref="A55:H55"/>
    <mergeCell ref="B12:D12"/>
    <mergeCell ref="F12:H12"/>
    <mergeCell ref="A8:H8"/>
    <mergeCell ref="A7:H7"/>
    <mergeCell ref="B11:D11"/>
    <mergeCell ref="F11:H11"/>
    <mergeCell ref="Z11:AB11"/>
    <mergeCell ref="Z12:AB12"/>
    <mergeCell ref="Z59:AB59"/>
    <mergeCell ref="Z60:AB60"/>
    <mergeCell ref="A56:H56"/>
    <mergeCell ref="A52:H53"/>
    <mergeCell ref="B59:D59"/>
    <mergeCell ref="F59:H59"/>
  </mergeCells>
  <printOptions/>
  <pageMargins left="0.8" right="0.26" top="0.43" bottom="0.43" header="0.3" footer="0.19"/>
  <pageSetup firstPageNumber="2" useFirstPageNumber="1" horizontalDpi="600" verticalDpi="600" orientation="portrait" paperSize="9" scale="95" r:id="rId3"/>
  <headerFooter>
    <oddFooter>&amp;C&amp;P</oddFooter>
  </headerFooter>
  <legacyDrawing r:id="rId2"/>
  <oleObjects>
    <oleObject progId="Word.Picture.8" shapeId="826483" r:id="rId1"/>
  </oleObjects>
</worksheet>
</file>

<file path=xl/worksheets/sheet3.xml><?xml version="1.0" encoding="utf-8"?>
<worksheet xmlns="http://schemas.openxmlformats.org/spreadsheetml/2006/main" xmlns:r="http://schemas.openxmlformats.org/officeDocument/2006/relationships">
  <sheetPr>
    <tabColor rgb="FFFFFF00"/>
  </sheetPr>
  <dimension ref="A1:J48"/>
  <sheetViews>
    <sheetView zoomScaleSheetLayoutView="115" workbookViewId="0" topLeftCell="A1">
      <selection activeCell="A45" sqref="A45:H46"/>
    </sheetView>
  </sheetViews>
  <sheetFormatPr defaultColWidth="9.00390625" defaultRowHeight="15.75"/>
  <cols>
    <col min="1" max="1" width="22.625" style="0" customWidth="1"/>
    <col min="2" max="2" width="8.625" style="0" customWidth="1"/>
    <col min="3" max="4" width="9.00390625" style="0" customWidth="1"/>
    <col min="5" max="5" width="9.875" style="0" bestFit="1" customWidth="1"/>
    <col min="6" max="8" width="8.625" style="0" customWidth="1"/>
    <col min="9" max="10" width="0" style="0" hidden="1" customWidth="1"/>
  </cols>
  <sheetData>
    <row r="1" spans="1:4" s="77" customFormat="1" ht="19.5" customHeight="1">
      <c r="A1" s="6"/>
      <c r="B1" s="6"/>
      <c r="C1" s="6"/>
      <c r="D1" s="6"/>
    </row>
    <row r="2" spans="1:8" s="77" customFormat="1" ht="15.75" customHeight="1">
      <c r="A2" s="297" t="s">
        <v>236</v>
      </c>
      <c r="B2" s="297"/>
      <c r="C2" s="297"/>
      <c r="D2" s="297"/>
      <c r="E2" s="297"/>
      <c r="F2" s="297"/>
      <c r="G2" s="297"/>
      <c r="H2" s="297"/>
    </row>
    <row r="3" spans="1:8" s="77" customFormat="1" ht="15.75" customHeight="1">
      <c r="A3" s="297"/>
      <c r="B3" s="297"/>
      <c r="C3" s="297"/>
      <c r="D3" s="297"/>
      <c r="E3" s="297"/>
      <c r="F3" s="297"/>
      <c r="G3" s="297"/>
      <c r="H3" s="297"/>
    </row>
    <row r="4" spans="1:8" s="77" customFormat="1" ht="20.25">
      <c r="A4" s="298" t="s">
        <v>43</v>
      </c>
      <c r="B4" s="298"/>
      <c r="C4" s="298"/>
      <c r="D4" s="298"/>
      <c r="E4" s="298"/>
      <c r="F4" s="298"/>
      <c r="G4" s="298"/>
      <c r="H4" s="298"/>
    </row>
    <row r="5" s="77" customFormat="1" ht="15"/>
    <row r="6" spans="1:8" ht="15">
      <c r="A6" s="314" t="s">
        <v>259</v>
      </c>
      <c r="B6" s="314"/>
      <c r="C6" s="314"/>
      <c r="D6" s="314"/>
      <c r="E6" s="314"/>
      <c r="F6" s="314"/>
      <c r="G6" s="314"/>
      <c r="H6" s="314"/>
    </row>
    <row r="7" spans="1:8" s="77" customFormat="1" ht="15">
      <c r="A7" s="310" t="str">
        <f>'IS'!A8</f>
        <v>FOR THE QUARTER ENDED  30 SEPTEMBER 2011 - UNAUDITED</v>
      </c>
      <c r="B7" s="310"/>
      <c r="C7" s="310"/>
      <c r="D7" s="310"/>
      <c r="E7" s="310"/>
      <c r="F7" s="310"/>
      <c r="G7" s="98"/>
      <c r="H7" s="98"/>
    </row>
    <row r="8" spans="1:8" s="77" customFormat="1" ht="15">
      <c r="A8" s="126"/>
      <c r="B8" s="126"/>
      <c r="C8" s="126"/>
      <c r="D8" s="126"/>
      <c r="E8" s="126"/>
      <c r="F8" s="126"/>
      <c r="G8" s="127"/>
      <c r="H8" s="127"/>
    </row>
    <row r="9" spans="1:8" s="77" customFormat="1" ht="15">
      <c r="A9" s="126"/>
      <c r="B9" s="126"/>
      <c r="C9" s="126"/>
      <c r="D9" s="126"/>
      <c r="E9" s="126"/>
      <c r="F9" s="126"/>
      <c r="G9" s="127"/>
      <c r="H9" s="127"/>
    </row>
    <row r="10" spans="1:8" ht="15">
      <c r="A10" s="15"/>
      <c r="B10" s="312" t="s">
        <v>245</v>
      </c>
      <c r="C10" s="313"/>
      <c r="D10" s="313"/>
      <c r="E10" s="313"/>
      <c r="F10" s="313"/>
      <c r="G10" s="16"/>
      <c r="H10" s="16"/>
    </row>
    <row r="11" spans="1:8" ht="15">
      <c r="A11" s="15"/>
      <c r="B11" s="16"/>
      <c r="C11" s="308" t="s">
        <v>230</v>
      </c>
      <c r="D11" s="309"/>
      <c r="E11" s="19" t="s">
        <v>47</v>
      </c>
      <c r="F11" s="21"/>
      <c r="G11" s="16"/>
      <c r="H11" s="16"/>
    </row>
    <row r="12" spans="1:8" s="25" customFormat="1" ht="15">
      <c r="A12" s="95"/>
      <c r="B12" s="95"/>
      <c r="C12" s="95"/>
      <c r="D12" s="117" t="s">
        <v>48</v>
      </c>
      <c r="E12" s="95"/>
      <c r="F12" s="95"/>
      <c r="G12" s="95"/>
      <c r="H12" s="95"/>
    </row>
    <row r="13" spans="1:8" s="25" customFormat="1" ht="15">
      <c r="A13" s="95"/>
      <c r="B13" s="117" t="s">
        <v>49</v>
      </c>
      <c r="C13" s="117" t="s">
        <v>49</v>
      </c>
      <c r="D13" s="117" t="s">
        <v>50</v>
      </c>
      <c r="E13" s="117" t="s">
        <v>51</v>
      </c>
      <c r="F13" s="117"/>
      <c r="G13" s="117" t="s">
        <v>52</v>
      </c>
      <c r="H13" s="117" t="s">
        <v>53</v>
      </c>
    </row>
    <row r="14" spans="1:8" s="25" customFormat="1" ht="15">
      <c r="A14" s="95"/>
      <c r="B14" s="117" t="s">
        <v>54</v>
      </c>
      <c r="C14" s="117" t="s">
        <v>55</v>
      </c>
      <c r="D14" s="117" t="s">
        <v>56</v>
      </c>
      <c r="E14" s="117" t="s">
        <v>57</v>
      </c>
      <c r="F14" s="117" t="s">
        <v>58</v>
      </c>
      <c r="G14" s="117" t="s">
        <v>173</v>
      </c>
      <c r="H14" s="117" t="s">
        <v>59</v>
      </c>
    </row>
    <row r="15" spans="1:8" s="25" customFormat="1" ht="15">
      <c r="A15" s="95"/>
      <c r="B15" s="117" t="s">
        <v>60</v>
      </c>
      <c r="C15" s="117" t="s">
        <v>60</v>
      </c>
      <c r="D15" s="117" t="s">
        <v>60</v>
      </c>
      <c r="E15" s="117" t="s">
        <v>60</v>
      </c>
      <c r="F15" s="117" t="s">
        <v>60</v>
      </c>
      <c r="G15" s="117" t="s">
        <v>60</v>
      </c>
      <c r="H15" s="117" t="s">
        <v>60</v>
      </c>
    </row>
    <row r="16" spans="1:8" ht="15">
      <c r="A16" s="67"/>
      <c r="B16" s="17"/>
      <c r="C16" s="17"/>
      <c r="D16" s="17"/>
      <c r="E16" s="17"/>
      <c r="F16" s="17"/>
      <c r="G16" s="17"/>
      <c r="H16" s="16"/>
    </row>
    <row r="17" spans="1:8" ht="15">
      <c r="A17" s="95" t="s">
        <v>301</v>
      </c>
      <c r="B17" s="240">
        <f>B33</f>
        <v>136267</v>
      </c>
      <c r="C17" s="240">
        <f>C33</f>
        <v>2513</v>
      </c>
      <c r="D17" s="240">
        <f>-23639</f>
        <v>-23639</v>
      </c>
      <c r="E17" s="241">
        <v>177504</v>
      </c>
      <c r="F17" s="241">
        <f>SUM(B17:E17)</f>
        <v>292645</v>
      </c>
      <c r="G17" s="241">
        <v>31195</v>
      </c>
      <c r="H17" s="241">
        <f>SUM(F17:G17)</f>
        <v>323840</v>
      </c>
    </row>
    <row r="18" spans="1:8" ht="15">
      <c r="A18" s="16"/>
      <c r="B18" s="240"/>
      <c r="C18" s="240"/>
      <c r="D18" s="241"/>
      <c r="E18" s="241"/>
      <c r="F18" s="241"/>
      <c r="G18" s="241"/>
      <c r="H18" s="241"/>
    </row>
    <row r="19" spans="1:9" ht="15">
      <c r="A19" s="217" t="s">
        <v>306</v>
      </c>
      <c r="B19" s="243"/>
      <c r="C19" s="243"/>
      <c r="D19" s="243"/>
      <c r="E19" s="243"/>
      <c r="F19" s="241"/>
      <c r="G19" s="243"/>
      <c r="H19" s="241"/>
      <c r="I19" s="243"/>
    </row>
    <row r="20" spans="1:10" s="77" customFormat="1" ht="15">
      <c r="A20" s="96" t="s">
        <v>231</v>
      </c>
      <c r="B20" s="244">
        <v>0</v>
      </c>
      <c r="C20" s="244">
        <v>0</v>
      </c>
      <c r="D20" s="244">
        <v>2421</v>
      </c>
      <c r="E20" s="244">
        <f>'IS'!F65</f>
        <v>16802</v>
      </c>
      <c r="F20" s="241">
        <f>SUM(B20:E20)</f>
        <v>19223</v>
      </c>
      <c r="G20" s="244">
        <f>'IS'!B72</f>
        <v>8682</v>
      </c>
      <c r="H20" s="241">
        <f>SUM(F20:G20)</f>
        <v>27905</v>
      </c>
      <c r="I20" s="58">
        <f>H20-'IS'!F75</f>
        <v>0</v>
      </c>
      <c r="J20" s="243">
        <f>E20-'IS'!F68</f>
        <v>-7070</v>
      </c>
    </row>
    <row r="21" spans="1:8" ht="15">
      <c r="A21" s="16"/>
      <c r="B21" s="242"/>
      <c r="C21" s="242"/>
      <c r="D21" s="242"/>
      <c r="E21" s="242"/>
      <c r="F21" s="242"/>
      <c r="G21" s="242"/>
      <c r="H21" s="242"/>
    </row>
    <row r="22" spans="1:8" ht="15.75" thickBot="1">
      <c r="A22" s="95" t="s">
        <v>302</v>
      </c>
      <c r="B22" s="245">
        <f>SUM(B17:B21)</f>
        <v>136267</v>
      </c>
      <c r="C22" s="245">
        <f aca="true" t="shared" si="0" ref="C22:H22">SUM(C17:C21)</f>
        <v>2513</v>
      </c>
      <c r="D22" s="245">
        <f t="shared" si="0"/>
        <v>-21218</v>
      </c>
      <c r="E22" s="245">
        <f t="shared" si="0"/>
        <v>194306</v>
      </c>
      <c r="F22" s="245">
        <f t="shared" si="0"/>
        <v>311868</v>
      </c>
      <c r="G22" s="245">
        <f t="shared" si="0"/>
        <v>39877</v>
      </c>
      <c r="H22" s="245">
        <f t="shared" si="0"/>
        <v>351745</v>
      </c>
    </row>
    <row r="23" spans="1:8" ht="15.75" thickTop="1">
      <c r="A23" s="16"/>
      <c r="B23" s="240"/>
      <c r="C23" s="240"/>
      <c r="D23" s="240"/>
      <c r="E23" s="240"/>
      <c r="F23" s="240"/>
      <c r="G23" s="240"/>
      <c r="H23" s="240"/>
    </row>
    <row r="24" spans="1:8" ht="15">
      <c r="A24" s="42"/>
      <c r="B24" s="240"/>
      <c r="C24" s="240"/>
      <c r="D24" s="240"/>
      <c r="E24" s="240"/>
      <c r="F24" s="240"/>
      <c r="G24" s="240"/>
      <c r="H24" s="240"/>
    </row>
    <row r="25" spans="1:8" ht="15">
      <c r="A25" s="67"/>
      <c r="B25" s="240"/>
      <c r="C25" s="240"/>
      <c r="D25" s="240"/>
      <c r="E25" s="240"/>
      <c r="F25" s="240"/>
      <c r="G25" s="240"/>
      <c r="H25" s="240"/>
    </row>
    <row r="26" spans="1:8" ht="15">
      <c r="A26" s="95" t="s">
        <v>287</v>
      </c>
      <c r="B26" s="240">
        <v>136267</v>
      </c>
      <c r="C26" s="240">
        <v>2513</v>
      </c>
      <c r="D26" s="240">
        <f>-17745</f>
        <v>-17745</v>
      </c>
      <c r="E26" s="240">
        <v>150513</v>
      </c>
      <c r="F26" s="240">
        <f>SUM(B26:E26)</f>
        <v>271548</v>
      </c>
      <c r="G26" s="240">
        <v>26381</v>
      </c>
      <c r="H26" s="240">
        <f>SUM(F26:G26)</f>
        <v>297929</v>
      </c>
    </row>
    <row r="27" spans="1:8" ht="15">
      <c r="A27" s="192" t="s">
        <v>268</v>
      </c>
      <c r="B27" s="242">
        <v>0</v>
      </c>
      <c r="C27" s="242">
        <v>0</v>
      </c>
      <c r="D27" s="242">
        <v>0</v>
      </c>
      <c r="E27" s="242">
        <f>-339</f>
        <v>-339</v>
      </c>
      <c r="F27" s="242">
        <f>SUM(B27:E27)</f>
        <v>-339</v>
      </c>
      <c r="G27" s="242">
        <v>0</v>
      </c>
      <c r="H27" s="242">
        <f>SUM(F27:G27)</f>
        <v>-339</v>
      </c>
    </row>
    <row r="28" spans="1:8" s="77" customFormat="1" ht="15">
      <c r="A28" s="281" t="s">
        <v>258</v>
      </c>
      <c r="B28" s="240">
        <f>SUM(B26:B27)</f>
        <v>136267</v>
      </c>
      <c r="C28" s="240">
        <f aca="true" t="shared" si="1" ref="C28:H28">SUM(C26:C27)</f>
        <v>2513</v>
      </c>
      <c r="D28" s="240">
        <f t="shared" si="1"/>
        <v>-17745</v>
      </c>
      <c r="E28" s="240">
        <f t="shared" si="1"/>
        <v>150174</v>
      </c>
      <c r="F28" s="240">
        <f t="shared" si="1"/>
        <v>271209</v>
      </c>
      <c r="G28" s="240">
        <f t="shared" si="1"/>
        <v>26381</v>
      </c>
      <c r="H28" s="240">
        <f t="shared" si="1"/>
        <v>297590</v>
      </c>
    </row>
    <row r="29" spans="1:8" s="77" customFormat="1" ht="15">
      <c r="A29" s="192"/>
      <c r="B29" s="240"/>
      <c r="C29" s="240"/>
      <c r="D29" s="240"/>
      <c r="E29" s="240"/>
      <c r="F29" s="240"/>
      <c r="G29" s="240"/>
      <c r="H29" s="240"/>
    </row>
    <row r="30" spans="1:8" s="77" customFormat="1" ht="15">
      <c r="A30" s="96" t="s">
        <v>278</v>
      </c>
      <c r="B30" s="243"/>
      <c r="C30" s="243"/>
      <c r="D30" s="243"/>
      <c r="E30" s="243"/>
      <c r="F30" s="243"/>
      <c r="G30" s="243"/>
      <c r="H30" s="243"/>
    </row>
    <row r="31" spans="1:9" s="77" customFormat="1" ht="15">
      <c r="A31" s="96" t="s">
        <v>231</v>
      </c>
      <c r="B31" s="246">
        <v>0</v>
      </c>
      <c r="C31" s="246">
        <v>0</v>
      </c>
      <c r="D31" s="244">
        <f>-2632</f>
        <v>-2632</v>
      </c>
      <c r="E31" s="244">
        <f>'IS'!H65</f>
        <v>6551</v>
      </c>
      <c r="F31" s="241">
        <f>SUM(B31:E31)</f>
        <v>3919</v>
      </c>
      <c r="G31" s="244">
        <f>'IS'!H72</f>
        <v>-565</v>
      </c>
      <c r="H31" s="241">
        <f>SUM(F31:G31)</f>
        <v>3354</v>
      </c>
      <c r="I31" s="243">
        <f>H31-'IS'!H75</f>
        <v>0</v>
      </c>
    </row>
    <row r="32" spans="1:8" ht="15">
      <c r="A32" s="16"/>
      <c r="B32" s="240"/>
      <c r="C32" s="240"/>
      <c r="D32" s="240"/>
      <c r="E32" s="240"/>
      <c r="F32" s="240"/>
      <c r="G32" s="240"/>
      <c r="H32" s="240"/>
    </row>
    <row r="33" spans="1:8" ht="15.75" thickBot="1">
      <c r="A33" s="216" t="s">
        <v>303</v>
      </c>
      <c r="B33" s="247">
        <f>SUM(B28:B32)</f>
        <v>136267</v>
      </c>
      <c r="C33" s="247">
        <f aca="true" t="shared" si="2" ref="C33:H33">SUM(C28:C32)</f>
        <v>2513</v>
      </c>
      <c r="D33" s="247">
        <f t="shared" si="2"/>
        <v>-20377</v>
      </c>
      <c r="E33" s="247">
        <f t="shared" si="2"/>
        <v>156725</v>
      </c>
      <c r="F33" s="247">
        <f t="shared" si="2"/>
        <v>275128</v>
      </c>
      <c r="G33" s="247">
        <f t="shared" si="2"/>
        <v>25816</v>
      </c>
      <c r="H33" s="247">
        <f t="shared" si="2"/>
        <v>300944</v>
      </c>
    </row>
    <row r="34" spans="1:8" ht="15.75" thickTop="1">
      <c r="A34" s="9"/>
      <c r="B34" s="18"/>
      <c r="C34" s="18"/>
      <c r="D34" s="18"/>
      <c r="E34" s="18"/>
      <c r="F34" s="18"/>
      <c r="G34" s="18"/>
      <c r="H34" s="18"/>
    </row>
    <row r="39" s="77" customFormat="1" ht="15"/>
    <row r="40" s="77" customFormat="1" ht="15"/>
    <row r="41" s="77" customFormat="1" ht="15"/>
    <row r="42" s="77" customFormat="1" ht="15"/>
    <row r="44" s="77" customFormat="1" ht="15"/>
    <row r="45" spans="1:8" ht="15.75" customHeight="1">
      <c r="A45" s="311" t="s">
        <v>304</v>
      </c>
      <c r="B45" s="311"/>
      <c r="C45" s="311"/>
      <c r="D45" s="311"/>
      <c r="E45" s="311"/>
      <c r="F45" s="311"/>
      <c r="G45" s="311"/>
      <c r="H45" s="311"/>
    </row>
    <row r="46" spans="1:8" ht="15">
      <c r="A46" s="311"/>
      <c r="B46" s="311"/>
      <c r="C46" s="311"/>
      <c r="D46" s="311"/>
      <c r="E46" s="311"/>
      <c r="F46" s="311"/>
      <c r="G46" s="311"/>
      <c r="H46" s="311"/>
    </row>
    <row r="47" spans="1:8" ht="15">
      <c r="A47" s="13"/>
      <c r="B47" s="13"/>
      <c r="C47" s="13"/>
      <c r="D47" s="13"/>
      <c r="E47" s="13"/>
      <c r="F47" s="13"/>
      <c r="G47" s="13"/>
      <c r="H47" s="13"/>
    </row>
    <row r="48" spans="1:8" ht="15">
      <c r="A48" s="13"/>
      <c r="B48" s="13"/>
      <c r="C48" s="13"/>
      <c r="D48" s="13"/>
      <c r="E48" s="13"/>
      <c r="F48" s="13"/>
      <c r="G48" s="13"/>
      <c r="H48" s="13"/>
    </row>
  </sheetData>
  <sheetProtection/>
  <mergeCells count="7">
    <mergeCell ref="C11:D11"/>
    <mergeCell ref="A7:F7"/>
    <mergeCell ref="A45:H46"/>
    <mergeCell ref="A2:H3"/>
    <mergeCell ref="A4:H4"/>
    <mergeCell ref="B10:F10"/>
    <mergeCell ref="A6:H6"/>
  </mergeCells>
  <printOptions/>
  <pageMargins left="0.8" right="0.26" top="0.66" bottom="0.68" header="0.3" footer="0.32"/>
  <pageSetup firstPageNumber="4" useFirstPageNumber="1" horizontalDpi="600" verticalDpi="600" orientation="portrait" paperSize="9" scale="99" r:id="rId3"/>
  <headerFooter>
    <oddFooter>&amp;C&amp;P</oddFooter>
  </headerFooter>
  <legacyDrawing r:id="rId2"/>
  <oleObjects>
    <oleObject progId="Word.Picture.8" shapeId="379602" r:id="rId1"/>
  </oleObjects>
</worksheet>
</file>

<file path=xl/worksheets/sheet4.xml><?xml version="1.0" encoding="utf-8"?>
<worksheet xmlns="http://schemas.openxmlformats.org/spreadsheetml/2006/main" xmlns:r="http://schemas.openxmlformats.org/officeDocument/2006/relationships">
  <dimension ref="A1:B8"/>
  <sheetViews>
    <sheetView zoomScalePageLayoutView="0" workbookViewId="0" topLeftCell="A1">
      <selection activeCell="A1" sqref="A1"/>
    </sheetView>
  </sheetViews>
  <sheetFormatPr defaultColWidth="9.00390625" defaultRowHeight="15.75"/>
  <sheetData>
    <row r="1" spans="1:2" ht="15">
      <c r="A1" t="s">
        <v>0</v>
      </c>
      <c r="B1" t="s">
        <v>1</v>
      </c>
    </row>
    <row r="2" spans="1:2" ht="15">
      <c r="A2" t="s">
        <v>2</v>
      </c>
      <c r="B2" t="s">
        <v>3</v>
      </c>
    </row>
    <row r="3" spans="1:2" ht="15">
      <c r="A3" t="s">
        <v>4</v>
      </c>
      <c r="B3" t="s">
        <v>5</v>
      </c>
    </row>
    <row r="4" spans="1:2" ht="15">
      <c r="A4" t="s">
        <v>6</v>
      </c>
      <c r="B4" t="s">
        <v>7</v>
      </c>
    </row>
    <row r="5" spans="1:2" ht="15">
      <c r="A5" t="s">
        <v>8</v>
      </c>
      <c r="B5" t="s">
        <v>9</v>
      </c>
    </row>
    <row r="6" spans="1:2" ht="15">
      <c r="A6" t="s">
        <v>10</v>
      </c>
      <c r="B6" t="s">
        <v>11</v>
      </c>
    </row>
    <row r="7" spans="1:2" ht="15">
      <c r="A7" t="s">
        <v>12</v>
      </c>
      <c r="B7" t="s">
        <v>13</v>
      </c>
    </row>
    <row r="8" spans="1:2" ht="15">
      <c r="A8" t="s">
        <v>14</v>
      </c>
      <c r="B8" t="s">
        <v>15</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C272"/>
  <sheetViews>
    <sheetView view="pageBreakPreview" zoomScale="70" zoomScaleNormal="80" zoomScaleSheetLayoutView="70" workbookViewId="0" topLeftCell="A124">
      <selection activeCell="E38" sqref="E38"/>
    </sheetView>
  </sheetViews>
  <sheetFormatPr defaultColWidth="9.00390625" defaultRowHeight="15.75"/>
  <cols>
    <col min="1" max="1" width="4.375" style="25" customWidth="1"/>
    <col min="2" max="2" width="9.00390625" style="77" customWidth="1"/>
    <col min="3" max="4" width="12.875" style="77" customWidth="1"/>
    <col min="5" max="5" width="15.375" style="77" customWidth="1"/>
    <col min="6" max="6" width="11.00390625" style="77" bestFit="1" customWidth="1"/>
    <col min="7" max="7" width="9.625" style="77" customWidth="1"/>
    <col min="8" max="8" width="11.875" style="77" customWidth="1"/>
    <col min="9" max="9" width="12.00390625" style="77" customWidth="1"/>
    <col min="10" max="10" width="9.00390625" style="77" hidden="1" customWidth="1"/>
    <col min="11" max="11" width="8.00390625" style="77" hidden="1" customWidth="1"/>
    <col min="12" max="12" width="9.00390625" style="77" hidden="1" customWidth="1"/>
    <col min="13" max="13" width="10.25390625" style="77" hidden="1" customWidth="1"/>
    <col min="14" max="14" width="13.75390625" style="77" bestFit="1" customWidth="1"/>
    <col min="15" max="18" width="11.875" style="77" hidden="1" customWidth="1"/>
    <col min="19" max="20" width="15.375" style="77" hidden="1" customWidth="1"/>
    <col min="21" max="16384" width="9.00390625" style="77" customWidth="1"/>
  </cols>
  <sheetData>
    <row r="1" ht="15">
      <c r="A1" s="77"/>
    </row>
    <row r="2" spans="1:9" ht="24.75">
      <c r="A2" s="333" t="s">
        <v>61</v>
      </c>
      <c r="B2" s="333"/>
      <c r="C2" s="333"/>
      <c r="D2" s="333"/>
      <c r="E2" s="333"/>
      <c r="F2" s="333"/>
      <c r="G2" s="333"/>
      <c r="H2" s="333"/>
      <c r="I2" s="333"/>
    </row>
    <row r="3" spans="1:9" ht="18">
      <c r="A3" s="334" t="s">
        <v>78</v>
      </c>
      <c r="B3" s="334"/>
      <c r="C3" s="334"/>
      <c r="D3" s="334"/>
      <c r="E3" s="334"/>
      <c r="F3" s="334"/>
      <c r="G3" s="334"/>
      <c r="H3" s="334"/>
      <c r="I3" s="334"/>
    </row>
    <row r="4" ht="6.75" customHeight="1">
      <c r="A4" s="77"/>
    </row>
    <row r="5" ht="15">
      <c r="A5" s="77"/>
    </row>
    <row r="6" spans="1:9" ht="15.75" thickBot="1">
      <c r="A6" s="125" t="s">
        <v>233</v>
      </c>
      <c r="B6" s="125"/>
      <c r="C6" s="125"/>
      <c r="D6" s="125"/>
      <c r="E6" s="125"/>
      <c r="F6" s="125"/>
      <c r="G6" s="26"/>
      <c r="H6" s="26"/>
      <c r="I6" s="26"/>
    </row>
    <row r="7" spans="1:9" ht="15">
      <c r="A7" s="6"/>
      <c r="B7" s="6"/>
      <c r="C7" s="6"/>
      <c r="D7" s="6"/>
      <c r="E7" s="6"/>
      <c r="F7" s="6"/>
      <c r="G7" s="6"/>
      <c r="H7" s="6"/>
      <c r="I7" s="6"/>
    </row>
    <row r="8" spans="1:9" ht="15">
      <c r="A8" s="94" t="s">
        <v>79</v>
      </c>
      <c r="B8" s="268" t="s">
        <v>80</v>
      </c>
      <c r="C8" s="11"/>
      <c r="D8" s="11"/>
      <c r="E8" s="11"/>
      <c r="F8" s="11"/>
      <c r="G8" s="11"/>
      <c r="H8" s="11"/>
      <c r="I8" s="11"/>
    </row>
    <row r="9" spans="1:9" ht="9.75" customHeight="1">
      <c r="A9" s="94"/>
      <c r="B9" s="268"/>
      <c r="C9" s="11"/>
      <c r="D9" s="11"/>
      <c r="E9" s="11"/>
      <c r="F9" s="11"/>
      <c r="G9" s="11"/>
      <c r="H9" s="11"/>
      <c r="I9" s="11"/>
    </row>
    <row r="10" spans="1:9" ht="57" customHeight="1">
      <c r="A10" s="94"/>
      <c r="B10" s="335" t="s">
        <v>308</v>
      </c>
      <c r="C10" s="335"/>
      <c r="D10" s="335"/>
      <c r="E10" s="335"/>
      <c r="F10" s="335"/>
      <c r="G10" s="335"/>
      <c r="H10" s="335"/>
      <c r="I10" s="335"/>
    </row>
    <row r="11" spans="1:9" ht="9.75" customHeight="1">
      <c r="A11" s="94"/>
      <c r="B11" s="121"/>
      <c r="C11" s="121"/>
      <c r="D11" s="121"/>
      <c r="E11" s="121"/>
      <c r="F11" s="121"/>
      <c r="G11" s="121"/>
      <c r="H11" s="121"/>
      <c r="I11" s="121"/>
    </row>
    <row r="12" spans="1:9" ht="48.75" customHeight="1">
      <c r="A12" s="94"/>
      <c r="B12" s="335" t="s">
        <v>309</v>
      </c>
      <c r="C12" s="335"/>
      <c r="D12" s="335"/>
      <c r="E12" s="335"/>
      <c r="F12" s="335"/>
      <c r="G12" s="335"/>
      <c r="H12" s="335"/>
      <c r="I12" s="335"/>
    </row>
    <row r="13" spans="1:9" ht="11.25" customHeight="1">
      <c r="A13" s="94"/>
      <c r="B13" s="121"/>
      <c r="C13" s="121"/>
      <c r="D13" s="121"/>
      <c r="E13" s="121"/>
      <c r="F13" s="121"/>
      <c r="G13" s="121"/>
      <c r="H13" s="121"/>
      <c r="I13" s="121"/>
    </row>
    <row r="14" spans="1:9" ht="15">
      <c r="A14" s="103"/>
      <c r="B14" s="102" t="s">
        <v>310</v>
      </c>
      <c r="C14" s="3"/>
      <c r="D14" s="3"/>
      <c r="E14" s="3"/>
      <c r="F14" s="3"/>
      <c r="G14" s="3"/>
      <c r="H14" s="3"/>
      <c r="I14" s="123" t="s">
        <v>232</v>
      </c>
    </row>
    <row r="15" spans="1:9" ht="15">
      <c r="A15" s="103"/>
      <c r="B15" s="103" t="s">
        <v>311</v>
      </c>
      <c r="C15" s="3"/>
      <c r="D15" s="3"/>
      <c r="E15" s="3"/>
      <c r="F15" s="3"/>
      <c r="G15" s="3"/>
      <c r="H15" s="3"/>
      <c r="I15" s="122" t="s">
        <v>312</v>
      </c>
    </row>
    <row r="16" spans="1:9" ht="15">
      <c r="A16" s="103"/>
      <c r="B16" s="103" t="s">
        <v>313</v>
      </c>
      <c r="C16" s="3"/>
      <c r="D16" s="3"/>
      <c r="E16" s="3"/>
      <c r="F16" s="3"/>
      <c r="G16" s="3"/>
      <c r="H16" s="3"/>
      <c r="I16" s="122" t="s">
        <v>312</v>
      </c>
    </row>
    <row r="17" spans="1:9" ht="15">
      <c r="A17" s="103"/>
      <c r="B17" s="103" t="s">
        <v>314</v>
      </c>
      <c r="C17" s="3"/>
      <c r="D17" s="3"/>
      <c r="E17" s="3"/>
      <c r="F17" s="3"/>
      <c r="G17" s="3"/>
      <c r="H17" s="3"/>
      <c r="I17" s="122" t="s">
        <v>312</v>
      </c>
    </row>
    <row r="18" spans="1:9" ht="15">
      <c r="A18" s="103"/>
      <c r="B18" s="103" t="s">
        <v>315</v>
      </c>
      <c r="C18" s="3"/>
      <c r="D18" s="3"/>
      <c r="E18" s="3"/>
      <c r="F18" s="3"/>
      <c r="G18" s="3"/>
      <c r="H18" s="3"/>
      <c r="I18" s="122" t="s">
        <v>312</v>
      </c>
    </row>
    <row r="19" spans="1:9" ht="15">
      <c r="A19" s="103"/>
      <c r="B19" s="103" t="s">
        <v>316</v>
      </c>
      <c r="C19" s="3"/>
      <c r="D19" s="3"/>
      <c r="E19" s="3"/>
      <c r="F19" s="3"/>
      <c r="G19" s="3"/>
      <c r="H19" s="3"/>
      <c r="I19" s="122" t="s">
        <v>312</v>
      </c>
    </row>
    <row r="20" spans="1:9" ht="15">
      <c r="A20" s="103"/>
      <c r="B20" s="103" t="s">
        <v>317</v>
      </c>
      <c r="C20" s="3"/>
      <c r="D20" s="3"/>
      <c r="E20" s="3"/>
      <c r="F20" s="3"/>
      <c r="G20" s="3"/>
      <c r="H20" s="3"/>
      <c r="I20" s="122" t="s">
        <v>312</v>
      </c>
    </row>
    <row r="21" spans="1:9" ht="15">
      <c r="A21" s="103"/>
      <c r="B21" s="103" t="s">
        <v>318</v>
      </c>
      <c r="C21" s="3"/>
      <c r="D21" s="3"/>
      <c r="E21" s="3"/>
      <c r="F21" s="3"/>
      <c r="G21" s="3"/>
      <c r="H21" s="3"/>
      <c r="I21" s="122" t="s">
        <v>312</v>
      </c>
    </row>
    <row r="22" spans="1:9" ht="15">
      <c r="A22" s="103"/>
      <c r="B22" s="103" t="s">
        <v>319</v>
      </c>
      <c r="C22" s="3"/>
      <c r="D22" s="3"/>
      <c r="E22" s="3"/>
      <c r="F22" s="3"/>
      <c r="G22" s="3"/>
      <c r="H22" s="3"/>
      <c r="I22" s="122" t="s">
        <v>312</v>
      </c>
    </row>
    <row r="23" spans="1:9" ht="15">
      <c r="A23" s="103"/>
      <c r="B23" s="103" t="s">
        <v>320</v>
      </c>
      <c r="C23" s="3"/>
      <c r="D23" s="3"/>
      <c r="E23" s="3"/>
      <c r="F23" s="3"/>
      <c r="G23" s="3"/>
      <c r="H23" s="3"/>
      <c r="I23" s="122" t="s">
        <v>312</v>
      </c>
    </row>
    <row r="24" spans="1:9" ht="15">
      <c r="A24" s="103"/>
      <c r="B24" s="103" t="s">
        <v>321</v>
      </c>
      <c r="C24" s="3"/>
      <c r="D24" s="3"/>
      <c r="E24" s="3"/>
      <c r="F24" s="3"/>
      <c r="G24" s="3"/>
      <c r="H24" s="3"/>
      <c r="I24" s="122" t="s">
        <v>312</v>
      </c>
    </row>
    <row r="25" spans="1:9" ht="15">
      <c r="A25" s="103"/>
      <c r="B25" s="103" t="s">
        <v>353</v>
      </c>
      <c r="C25" s="3"/>
      <c r="D25" s="3"/>
      <c r="E25" s="3"/>
      <c r="F25" s="3"/>
      <c r="G25" s="3"/>
      <c r="H25" s="3"/>
      <c r="I25" s="122" t="s">
        <v>312</v>
      </c>
    </row>
    <row r="26" spans="1:9" ht="15">
      <c r="A26" s="103"/>
      <c r="B26" s="103"/>
      <c r="C26" s="3"/>
      <c r="D26" s="3"/>
      <c r="E26" s="3"/>
      <c r="F26" s="3"/>
      <c r="G26" s="3"/>
      <c r="H26" s="3"/>
      <c r="I26" s="122"/>
    </row>
    <row r="27" spans="1:9" ht="15">
      <c r="A27" s="103"/>
      <c r="B27" s="102" t="s">
        <v>330</v>
      </c>
      <c r="C27" s="3"/>
      <c r="D27" s="3"/>
      <c r="E27" s="3"/>
      <c r="F27" s="3"/>
      <c r="G27" s="3"/>
      <c r="H27" s="3"/>
      <c r="I27" s="122"/>
    </row>
    <row r="28" spans="1:9" ht="15">
      <c r="A28" s="103"/>
      <c r="B28" s="103" t="s">
        <v>322</v>
      </c>
      <c r="C28" s="3"/>
      <c r="D28" s="3"/>
      <c r="E28" s="3"/>
      <c r="F28" s="3"/>
      <c r="G28" s="3"/>
      <c r="H28" s="3"/>
      <c r="I28" s="122">
        <v>40544</v>
      </c>
    </row>
    <row r="29" spans="1:9" ht="15">
      <c r="A29" s="103"/>
      <c r="B29" s="103" t="s">
        <v>323</v>
      </c>
      <c r="C29" s="3"/>
      <c r="D29" s="3"/>
      <c r="E29" s="3"/>
      <c r="F29" s="3"/>
      <c r="G29" s="3"/>
      <c r="H29" s="3"/>
      <c r="I29" s="122">
        <v>40544</v>
      </c>
    </row>
    <row r="30" spans="1:9" ht="15">
      <c r="A30" s="103"/>
      <c r="B30" s="103" t="s">
        <v>354</v>
      </c>
      <c r="C30" s="3"/>
      <c r="D30" s="3"/>
      <c r="E30" s="3"/>
      <c r="F30" s="103"/>
      <c r="G30" s="3"/>
      <c r="H30" s="3"/>
      <c r="I30" s="282" t="s">
        <v>324</v>
      </c>
    </row>
    <row r="31" spans="1:9" ht="15">
      <c r="A31" s="103"/>
      <c r="B31" s="317"/>
      <c r="C31" s="317"/>
      <c r="D31" s="317"/>
      <c r="E31" s="317"/>
      <c r="F31" s="317"/>
      <c r="G31" s="317"/>
      <c r="H31" s="317"/>
      <c r="I31" s="317"/>
    </row>
    <row r="32" spans="1:9" ht="15">
      <c r="A32" s="103"/>
      <c r="B32" s="285" t="s">
        <v>325</v>
      </c>
      <c r="C32" s="124"/>
      <c r="D32" s="124"/>
      <c r="E32" s="124"/>
      <c r="F32" s="124"/>
      <c r="G32" s="124"/>
      <c r="H32" s="124"/>
      <c r="I32" s="124"/>
    </row>
    <row r="33" spans="1:9" ht="15">
      <c r="A33" s="103"/>
      <c r="B33" s="218" t="s">
        <v>326</v>
      </c>
      <c r="C33" s="124"/>
      <c r="D33" s="124"/>
      <c r="E33" s="124"/>
      <c r="F33" s="124"/>
      <c r="G33" s="124"/>
      <c r="H33" s="124"/>
      <c r="I33" s="283" t="s">
        <v>328</v>
      </c>
    </row>
    <row r="34" spans="1:9" ht="15">
      <c r="A34" s="103"/>
      <c r="B34" s="218" t="s">
        <v>327</v>
      </c>
      <c r="C34" s="124"/>
      <c r="D34" s="124"/>
      <c r="E34" s="124"/>
      <c r="F34" s="124"/>
      <c r="G34" s="124"/>
      <c r="H34" s="124"/>
      <c r="I34" s="284" t="s">
        <v>324</v>
      </c>
    </row>
    <row r="35" spans="1:9" ht="15">
      <c r="A35" s="103"/>
      <c r="B35" s="218"/>
      <c r="C35" s="124"/>
      <c r="D35" s="124"/>
      <c r="E35" s="124"/>
      <c r="F35" s="124"/>
      <c r="G35" s="124"/>
      <c r="H35" s="124"/>
      <c r="I35" s="124"/>
    </row>
    <row r="36" spans="1:9" ht="34.5" customHeight="1">
      <c r="A36" s="94"/>
      <c r="B36" s="335" t="s">
        <v>329</v>
      </c>
      <c r="C36" s="335"/>
      <c r="D36" s="335"/>
      <c r="E36" s="335"/>
      <c r="F36" s="335"/>
      <c r="G36" s="335"/>
      <c r="H36" s="335"/>
      <c r="I36" s="335"/>
    </row>
    <row r="37" spans="1:9" ht="15">
      <c r="A37" s="130"/>
      <c r="B37" s="130"/>
      <c r="C37" s="130"/>
      <c r="D37" s="130"/>
      <c r="E37" s="130"/>
      <c r="F37" s="130"/>
      <c r="G37" s="130"/>
      <c r="H37" s="130"/>
      <c r="I37" s="130"/>
    </row>
    <row r="38" spans="1:9" ht="15">
      <c r="A38" s="94" t="s">
        <v>262</v>
      </c>
      <c r="B38" s="94" t="s">
        <v>81</v>
      </c>
      <c r="C38" s="134"/>
      <c r="D38" s="134"/>
      <c r="E38" s="134"/>
      <c r="F38" s="134"/>
      <c r="G38" s="134"/>
      <c r="H38" s="134"/>
      <c r="I38" s="134"/>
    </row>
    <row r="39" spans="1:9" ht="15">
      <c r="A39" s="94"/>
      <c r="B39" s="94"/>
      <c r="C39" s="134"/>
      <c r="D39" s="134"/>
      <c r="E39" s="134"/>
      <c r="F39" s="134"/>
      <c r="G39" s="134"/>
      <c r="H39" s="134"/>
      <c r="I39" s="134"/>
    </row>
    <row r="40" spans="1:9" ht="32.25" customHeight="1">
      <c r="A40" s="94"/>
      <c r="B40" s="315" t="s">
        <v>331</v>
      </c>
      <c r="C40" s="315"/>
      <c r="D40" s="315"/>
      <c r="E40" s="315"/>
      <c r="F40" s="315"/>
      <c r="G40" s="315"/>
      <c r="H40" s="315"/>
      <c r="I40" s="315"/>
    </row>
    <row r="41" spans="1:9" ht="15">
      <c r="A41" s="94"/>
      <c r="B41" s="134"/>
      <c r="C41" s="134"/>
      <c r="D41" s="134"/>
      <c r="E41" s="134"/>
      <c r="F41" s="134"/>
      <c r="G41" s="134"/>
      <c r="H41" s="134"/>
      <c r="I41" s="134"/>
    </row>
    <row r="42" spans="1:9" ht="15">
      <c r="A42" s="94" t="s">
        <v>82</v>
      </c>
      <c r="B42" s="94" t="s">
        <v>83</v>
      </c>
      <c r="C42" s="134"/>
      <c r="D42" s="134"/>
      <c r="E42" s="134"/>
      <c r="F42" s="134"/>
      <c r="G42" s="134"/>
      <c r="H42" s="134"/>
      <c r="I42" s="134"/>
    </row>
    <row r="43" spans="1:9" ht="15">
      <c r="A43" s="94"/>
      <c r="B43" s="94"/>
      <c r="C43" s="134"/>
      <c r="D43" s="134"/>
      <c r="E43" s="134"/>
      <c r="F43" s="134"/>
      <c r="G43" s="134"/>
      <c r="H43" s="134"/>
      <c r="I43" s="134"/>
    </row>
    <row r="44" spans="1:9" ht="15">
      <c r="A44" s="94"/>
      <c r="B44" s="338" t="s">
        <v>84</v>
      </c>
      <c r="C44" s="338"/>
      <c r="D44" s="338"/>
      <c r="E44" s="338"/>
      <c r="F44" s="338"/>
      <c r="G44" s="338"/>
      <c r="H44" s="338"/>
      <c r="I44" s="338"/>
    </row>
    <row r="45" spans="1:9" ht="15">
      <c r="A45" s="94"/>
      <c r="B45" s="134"/>
      <c r="C45" s="134"/>
      <c r="D45" s="134"/>
      <c r="E45" s="134"/>
      <c r="F45" s="134"/>
      <c r="G45" s="134"/>
      <c r="H45" s="134"/>
      <c r="I45" s="134"/>
    </row>
    <row r="46" spans="1:9" ht="15">
      <c r="A46" s="94" t="s">
        <v>85</v>
      </c>
      <c r="B46" s="94" t="s">
        <v>86</v>
      </c>
      <c r="C46" s="134"/>
      <c r="D46" s="134"/>
      <c r="E46" s="134"/>
      <c r="F46" s="134"/>
      <c r="G46" s="134"/>
      <c r="H46" s="134"/>
      <c r="I46" s="134"/>
    </row>
    <row r="47" spans="1:9" ht="12" customHeight="1">
      <c r="A47" s="94"/>
      <c r="B47" s="94"/>
      <c r="C47" s="134"/>
      <c r="D47" s="134"/>
      <c r="E47" s="134"/>
      <c r="F47" s="134"/>
      <c r="G47" s="134"/>
      <c r="H47" s="134"/>
      <c r="I47" s="134"/>
    </row>
    <row r="48" spans="1:9" ht="31.5" customHeight="1">
      <c r="A48" s="94"/>
      <c r="B48" s="316" t="s">
        <v>332</v>
      </c>
      <c r="C48" s="316"/>
      <c r="D48" s="316"/>
      <c r="E48" s="316"/>
      <c r="F48" s="316"/>
      <c r="G48" s="316"/>
      <c r="H48" s="316"/>
      <c r="I48" s="316"/>
    </row>
    <row r="49" spans="1:9" ht="15">
      <c r="A49" s="94"/>
      <c r="B49" s="134"/>
      <c r="C49" s="134"/>
      <c r="D49" s="134"/>
      <c r="E49" s="134"/>
      <c r="F49" s="134"/>
      <c r="G49" s="134"/>
      <c r="H49" s="134"/>
      <c r="I49" s="134"/>
    </row>
    <row r="50" spans="1:9" ht="15">
      <c r="A50" s="94" t="s">
        <v>87</v>
      </c>
      <c r="B50" s="94" t="s">
        <v>88</v>
      </c>
      <c r="C50" s="134"/>
      <c r="D50" s="134"/>
      <c r="E50" s="134"/>
      <c r="F50" s="134"/>
      <c r="G50" s="134"/>
      <c r="H50" s="134"/>
      <c r="I50" s="134"/>
    </row>
    <row r="51" spans="1:9" ht="12" customHeight="1">
      <c r="A51" s="94"/>
      <c r="B51" s="94"/>
      <c r="C51" s="134"/>
      <c r="D51" s="134"/>
      <c r="E51" s="134"/>
      <c r="F51" s="134"/>
      <c r="G51" s="134"/>
      <c r="H51" s="134"/>
      <c r="I51" s="134"/>
    </row>
    <row r="52" spans="1:9" ht="31.5" customHeight="1">
      <c r="A52" s="94"/>
      <c r="B52" s="316" t="s">
        <v>89</v>
      </c>
      <c r="C52" s="316"/>
      <c r="D52" s="316"/>
      <c r="E52" s="316"/>
      <c r="F52" s="316"/>
      <c r="G52" s="316"/>
      <c r="H52" s="316"/>
      <c r="I52" s="316"/>
    </row>
    <row r="53" spans="1:9" ht="15">
      <c r="A53" s="94"/>
      <c r="B53" s="134"/>
      <c r="C53" s="134"/>
      <c r="D53" s="134"/>
      <c r="E53" s="134"/>
      <c r="F53" s="134"/>
      <c r="G53" s="134"/>
      <c r="H53" s="134"/>
      <c r="I53" s="134"/>
    </row>
    <row r="54" spans="1:9" ht="15">
      <c r="A54" s="94" t="s">
        <v>90</v>
      </c>
      <c r="B54" s="94" t="s">
        <v>91</v>
      </c>
      <c r="C54" s="134"/>
      <c r="D54" s="134"/>
      <c r="E54" s="134"/>
      <c r="F54" s="134"/>
      <c r="G54" s="134"/>
      <c r="H54" s="134"/>
      <c r="I54" s="134"/>
    </row>
    <row r="55" spans="1:9" ht="12" customHeight="1">
      <c r="A55" s="94"/>
      <c r="B55" s="94"/>
      <c r="C55" s="134"/>
      <c r="D55" s="134"/>
      <c r="E55" s="134"/>
      <c r="F55" s="134"/>
      <c r="G55" s="134"/>
      <c r="H55" s="134"/>
      <c r="I55" s="134"/>
    </row>
    <row r="56" spans="1:9" ht="30.75" customHeight="1">
      <c r="A56" s="94"/>
      <c r="B56" s="316" t="s">
        <v>92</v>
      </c>
      <c r="C56" s="316"/>
      <c r="D56" s="316"/>
      <c r="E56" s="316"/>
      <c r="F56" s="316"/>
      <c r="G56" s="316"/>
      <c r="H56" s="316"/>
      <c r="I56" s="316"/>
    </row>
    <row r="57" spans="1:9" ht="15">
      <c r="A57" s="94"/>
      <c r="B57" s="134"/>
      <c r="C57" s="134"/>
      <c r="D57" s="134"/>
      <c r="E57" s="134"/>
      <c r="F57" s="134"/>
      <c r="G57" s="134"/>
      <c r="H57" s="134"/>
      <c r="I57" s="134"/>
    </row>
    <row r="58" spans="1:9" ht="15">
      <c r="A58" s="94" t="s">
        <v>93</v>
      </c>
      <c r="B58" s="94" t="s">
        <v>94</v>
      </c>
      <c r="C58" s="134"/>
      <c r="D58" s="134"/>
      <c r="E58" s="134"/>
      <c r="F58" s="134"/>
      <c r="G58" s="134"/>
      <c r="H58" s="134"/>
      <c r="I58" s="134"/>
    </row>
    <row r="59" spans="1:9" ht="12" customHeight="1">
      <c r="A59" s="94"/>
      <c r="B59" s="94"/>
      <c r="C59" s="134"/>
      <c r="D59" s="134"/>
      <c r="E59" s="134"/>
      <c r="F59" s="134"/>
      <c r="G59" s="134"/>
      <c r="H59" s="134"/>
      <c r="I59" s="134"/>
    </row>
    <row r="60" spans="1:9" ht="15">
      <c r="A60" s="94"/>
      <c r="B60" s="326" t="s">
        <v>333</v>
      </c>
      <c r="C60" s="326"/>
      <c r="D60" s="326"/>
      <c r="E60" s="326"/>
      <c r="F60" s="326"/>
      <c r="G60" s="326"/>
      <c r="H60" s="326"/>
      <c r="I60" s="326"/>
    </row>
    <row r="61" spans="1:9" ht="15">
      <c r="A61" s="134"/>
      <c r="B61" s="134"/>
      <c r="C61" s="134"/>
      <c r="D61" s="134"/>
      <c r="E61" s="134"/>
      <c r="F61" s="134"/>
      <c r="G61" s="134"/>
      <c r="H61" s="134"/>
      <c r="I61" s="134"/>
    </row>
    <row r="62" spans="1:9" ht="15">
      <c r="A62" s="94" t="s">
        <v>115</v>
      </c>
      <c r="B62" s="94" t="s">
        <v>95</v>
      </c>
      <c r="C62" s="134"/>
      <c r="D62" s="134"/>
      <c r="E62" s="134"/>
      <c r="F62" s="134"/>
      <c r="G62" s="134"/>
      <c r="H62" s="134"/>
      <c r="I62" s="134"/>
    </row>
    <row r="63" spans="1:9" ht="15">
      <c r="A63" s="94"/>
      <c r="B63" s="94"/>
      <c r="C63" s="134"/>
      <c r="D63" s="134"/>
      <c r="E63" s="134"/>
      <c r="F63" s="134"/>
      <c r="G63" s="134"/>
      <c r="H63" s="134"/>
      <c r="I63" s="134"/>
    </row>
    <row r="64" spans="1:9" ht="31.5" customHeight="1">
      <c r="A64" s="94"/>
      <c r="B64" s="316" t="s">
        <v>96</v>
      </c>
      <c r="C64" s="316"/>
      <c r="D64" s="316"/>
      <c r="E64" s="316"/>
      <c r="F64" s="316"/>
      <c r="G64" s="316"/>
      <c r="H64" s="316"/>
      <c r="I64" s="316"/>
    </row>
    <row r="65" spans="1:9" ht="15">
      <c r="A65" s="94"/>
      <c r="B65" s="134"/>
      <c r="C65" s="134"/>
      <c r="D65" s="134"/>
      <c r="E65" s="134"/>
      <c r="F65" s="134"/>
      <c r="G65" s="134"/>
      <c r="H65" s="134"/>
      <c r="I65" s="134"/>
    </row>
    <row r="66" spans="1:9" ht="15">
      <c r="A66" s="94"/>
      <c r="B66" s="94" t="s">
        <v>241</v>
      </c>
      <c r="C66" s="134"/>
      <c r="D66" s="134"/>
      <c r="E66" s="134"/>
      <c r="F66" s="134"/>
      <c r="G66" s="134"/>
      <c r="H66" s="134"/>
      <c r="I66" s="134"/>
    </row>
    <row r="67" spans="1:9" ht="15">
      <c r="A67" s="94"/>
      <c r="B67" s="134"/>
      <c r="C67" s="134"/>
      <c r="D67" s="134"/>
      <c r="E67" s="332"/>
      <c r="F67" s="332"/>
      <c r="G67" s="332"/>
      <c r="H67" s="332"/>
      <c r="I67" s="332"/>
    </row>
    <row r="68" spans="1:9" ht="28.5">
      <c r="A68" s="94"/>
      <c r="B68" s="134"/>
      <c r="C68" s="134"/>
      <c r="D68" s="134"/>
      <c r="E68" s="270" t="s">
        <v>97</v>
      </c>
      <c r="F68" s="270" t="s">
        <v>98</v>
      </c>
      <c r="G68" s="270" t="s">
        <v>99</v>
      </c>
      <c r="H68" s="270" t="s">
        <v>100</v>
      </c>
      <c r="I68" s="270" t="s">
        <v>101</v>
      </c>
    </row>
    <row r="69" spans="1:9" ht="15">
      <c r="A69" s="94"/>
      <c r="B69" s="134"/>
      <c r="C69" s="134"/>
      <c r="D69" s="134"/>
      <c r="E69" s="267" t="s">
        <v>102</v>
      </c>
      <c r="F69" s="267" t="s">
        <v>102</v>
      </c>
      <c r="G69" s="267" t="s">
        <v>102</v>
      </c>
      <c r="H69" s="267" t="s">
        <v>102</v>
      </c>
      <c r="I69" s="267" t="s">
        <v>102</v>
      </c>
    </row>
    <row r="70" spans="1:9" ht="15">
      <c r="A70" s="94"/>
      <c r="B70" s="94" t="s">
        <v>334</v>
      </c>
      <c r="C70" s="134"/>
      <c r="D70" s="134"/>
      <c r="E70" s="267"/>
      <c r="F70" s="267"/>
      <c r="G70" s="267"/>
      <c r="H70" s="267"/>
      <c r="I70" s="267"/>
    </row>
    <row r="71" spans="1:9" ht="15">
      <c r="A71" s="94"/>
      <c r="B71" s="116" t="s">
        <v>45</v>
      </c>
      <c r="C71" s="134"/>
      <c r="D71" s="134"/>
      <c r="E71" s="135"/>
      <c r="F71" s="135"/>
      <c r="G71" s="135"/>
      <c r="H71" s="135"/>
      <c r="I71" s="135"/>
    </row>
    <row r="72" spans="1:9" ht="15">
      <c r="A72" s="94"/>
      <c r="B72" s="136" t="s">
        <v>237</v>
      </c>
      <c r="C72" s="137"/>
      <c r="D72" s="137"/>
      <c r="E72" s="142">
        <f>115063-11051</f>
        <v>104012</v>
      </c>
      <c r="F72" s="142">
        <f>30320-15</f>
        <v>30305</v>
      </c>
      <c r="G72" s="142">
        <v>0</v>
      </c>
      <c r="H72" s="142">
        <v>0</v>
      </c>
      <c r="I72" s="142">
        <f>SUM(E72:H72)</f>
        <v>134317</v>
      </c>
    </row>
    <row r="73" spans="1:9" ht="15">
      <c r="A73" s="94"/>
      <c r="B73" s="136" t="s">
        <v>103</v>
      </c>
      <c r="C73" s="137"/>
      <c r="D73" s="137"/>
      <c r="E73" s="142">
        <v>0</v>
      </c>
      <c r="F73" s="142">
        <v>15</v>
      </c>
      <c r="G73" s="142"/>
      <c r="H73" s="142">
        <f>-SUM(E73:G73)</f>
        <v>-15</v>
      </c>
      <c r="I73" s="142">
        <f>SUM(E73:H73)</f>
        <v>0</v>
      </c>
    </row>
    <row r="74" spans="1:13" ht="15.75" thickBot="1">
      <c r="A74" s="94"/>
      <c r="B74" s="136" t="s">
        <v>104</v>
      </c>
      <c r="C74" s="137"/>
      <c r="D74" s="137"/>
      <c r="E74" s="238">
        <f>SUM(E72:E73)</f>
        <v>104012</v>
      </c>
      <c r="F74" s="238">
        <f>SUM(F72:F73)</f>
        <v>30320</v>
      </c>
      <c r="G74" s="238">
        <f>SUM(G72:G73)</f>
        <v>0</v>
      </c>
      <c r="H74" s="238">
        <f>SUM(H72:H73)</f>
        <v>-15</v>
      </c>
      <c r="I74" s="238">
        <f>SUM(I72:I73)</f>
        <v>134317</v>
      </c>
      <c r="J74" s="29">
        <f>I74-'[1]IS'!F16</f>
        <v>-368270</v>
      </c>
      <c r="M74" s="29">
        <f>I74-'IS'!F16</f>
        <v>0</v>
      </c>
    </row>
    <row r="75" spans="1:9" ht="15.75" thickTop="1">
      <c r="A75" s="94"/>
      <c r="B75" s="136"/>
      <c r="C75" s="137"/>
      <c r="D75" s="137"/>
      <c r="E75" s="142"/>
      <c r="F75" s="142"/>
      <c r="G75" s="142"/>
      <c r="H75" s="142"/>
      <c r="I75" s="142"/>
    </row>
    <row r="76" spans="1:9" ht="15">
      <c r="A76" s="94"/>
      <c r="B76" s="140" t="s">
        <v>168</v>
      </c>
      <c r="C76" s="137"/>
      <c r="D76" s="188"/>
      <c r="E76" s="142"/>
      <c r="F76" s="142"/>
      <c r="G76" s="142"/>
      <c r="H76" s="142"/>
      <c r="I76" s="142"/>
    </row>
    <row r="77" spans="1:9" ht="15">
      <c r="A77" s="94"/>
      <c r="B77" s="136" t="s">
        <v>257</v>
      </c>
      <c r="C77" s="137"/>
      <c r="D77" s="188"/>
      <c r="E77" s="142">
        <f>26080-E78-E80-E79</f>
        <v>29987</v>
      </c>
      <c r="F77" s="142">
        <f>-237-F78-F80-F79</f>
        <v>390</v>
      </c>
      <c r="G77" s="142">
        <f>-32</f>
        <v>-32</v>
      </c>
      <c r="H77" s="142">
        <v>0</v>
      </c>
      <c r="I77" s="142">
        <f>SUM(E77:H77)</f>
        <v>30345</v>
      </c>
    </row>
    <row r="78" spans="1:13" ht="15">
      <c r="A78" s="94"/>
      <c r="B78" s="136" t="s">
        <v>222</v>
      </c>
      <c r="C78" s="137"/>
      <c r="D78" s="188"/>
      <c r="E78" s="142">
        <f>-485</f>
        <v>-485</v>
      </c>
      <c r="F78" s="142">
        <f>-106</f>
        <v>-106</v>
      </c>
      <c r="G78" s="142">
        <v>0</v>
      </c>
      <c r="H78" s="142">
        <v>0</v>
      </c>
      <c r="I78" s="142">
        <f>SUM(E78:H78)</f>
        <v>-591</v>
      </c>
      <c r="J78" s="29"/>
      <c r="M78" s="29">
        <f>I78-'IS'!F30</f>
        <v>0</v>
      </c>
    </row>
    <row r="79" spans="1:10" ht="15">
      <c r="A79" s="94"/>
      <c r="B79" s="136" t="s">
        <v>46</v>
      </c>
      <c r="C79" s="137"/>
      <c r="D79" s="188"/>
      <c r="E79" s="292">
        <v>7</v>
      </c>
      <c r="F79" s="292">
        <v>9</v>
      </c>
      <c r="G79" s="292">
        <v>0</v>
      </c>
      <c r="H79" s="292">
        <v>0</v>
      </c>
      <c r="I79" s="292">
        <f>SUM(E79:H79)</f>
        <v>16</v>
      </c>
      <c r="J79" s="29"/>
    </row>
    <row r="80" spans="1:10" ht="15">
      <c r="A80" s="94"/>
      <c r="B80" s="136" t="s">
        <v>239</v>
      </c>
      <c r="C80" s="137"/>
      <c r="D80" s="137"/>
      <c r="E80" s="293">
        <f>-3429</f>
        <v>-3429</v>
      </c>
      <c r="F80" s="293">
        <f>-530</f>
        <v>-530</v>
      </c>
      <c r="G80" s="293">
        <v>0</v>
      </c>
      <c r="H80" s="293">
        <v>0</v>
      </c>
      <c r="I80" s="293">
        <f>SUM(E80:H80)</f>
        <v>-3959</v>
      </c>
      <c r="J80" s="29"/>
    </row>
    <row r="81" spans="1:13" ht="15.75" thickBot="1">
      <c r="A81" s="94"/>
      <c r="B81" s="136" t="s">
        <v>266</v>
      </c>
      <c r="C81" s="137"/>
      <c r="D81" s="137"/>
      <c r="E81" s="145">
        <f>SUM(E77:E80)</f>
        <v>26080</v>
      </c>
      <c r="F81" s="145">
        <f>SUM(F77:F80)</f>
        <v>-237</v>
      </c>
      <c r="G81" s="145">
        <f>SUM(G77:G80)</f>
        <v>-32</v>
      </c>
      <c r="H81" s="145">
        <f>SUM(H77:H80)</f>
        <v>0</v>
      </c>
      <c r="I81" s="145">
        <f>SUM(I77:I80)</f>
        <v>25811</v>
      </c>
      <c r="J81" s="29">
        <f>I81-'[1]IS'!F32</f>
        <v>-26563</v>
      </c>
      <c r="M81" s="29">
        <f>I81-'IS'!F32</f>
        <v>0</v>
      </c>
    </row>
    <row r="82" spans="1:9" ht="15.75" thickTop="1">
      <c r="A82" s="94"/>
      <c r="B82" s="136"/>
      <c r="C82" s="137"/>
      <c r="D82" s="137"/>
      <c r="E82" s="142"/>
      <c r="F82" s="142"/>
      <c r="G82" s="142"/>
      <c r="H82" s="142"/>
      <c r="I82" s="142"/>
    </row>
    <row r="83" spans="1:13" ht="15.75" thickBot="1">
      <c r="A83" s="94"/>
      <c r="B83" s="140" t="s">
        <v>105</v>
      </c>
      <c r="C83" s="137"/>
      <c r="D83" s="137"/>
      <c r="E83" s="145">
        <v>519484</v>
      </c>
      <c r="F83" s="145">
        <v>92273</v>
      </c>
      <c r="G83" s="145">
        <v>177263</v>
      </c>
      <c r="H83" s="145">
        <f>-216745</f>
        <v>-216745</v>
      </c>
      <c r="I83" s="145">
        <f>SUM(E83:H83)</f>
        <v>572275</v>
      </c>
      <c r="J83" s="29">
        <f>I83-'[1]BS'!C27</f>
        <v>44907</v>
      </c>
      <c r="M83" s="29">
        <f>'BS'!C27-Notes!I83</f>
        <v>0</v>
      </c>
    </row>
    <row r="84" spans="1:9" ht="15.75" thickTop="1">
      <c r="A84" s="94"/>
      <c r="B84" s="136"/>
      <c r="C84" s="137"/>
      <c r="D84" s="137"/>
      <c r="E84" s="150"/>
      <c r="F84" s="150"/>
      <c r="G84" s="150"/>
      <c r="H84" s="150"/>
      <c r="I84" s="150"/>
    </row>
    <row r="85" spans="1:13" ht="15.75" thickBot="1">
      <c r="A85" s="94"/>
      <c r="B85" s="140" t="s">
        <v>106</v>
      </c>
      <c r="C85" s="137"/>
      <c r="D85" s="137"/>
      <c r="E85" s="145">
        <v>227338</v>
      </c>
      <c r="F85" s="145">
        <v>35254</v>
      </c>
      <c r="G85" s="145">
        <v>598</v>
      </c>
      <c r="H85" s="145">
        <f>-42660</f>
        <v>-42660</v>
      </c>
      <c r="I85" s="145">
        <f>SUM(E85:H85)</f>
        <v>220530</v>
      </c>
      <c r="J85" s="29">
        <f>I85-'[1]BS'!C48</f>
        <v>5413</v>
      </c>
      <c r="M85" s="29">
        <f>I85-'BS'!C49</f>
        <v>0</v>
      </c>
    </row>
    <row r="86" spans="1:9" ht="15.75" thickTop="1">
      <c r="A86" s="94"/>
      <c r="B86" s="11"/>
      <c r="C86" s="137"/>
      <c r="D86" s="137"/>
      <c r="E86" s="188"/>
      <c r="F86" s="188"/>
      <c r="G86" s="188"/>
      <c r="H86" s="188"/>
      <c r="I86" s="188"/>
    </row>
    <row r="87" spans="1:9" ht="28.5">
      <c r="A87" s="94"/>
      <c r="B87" s="134"/>
      <c r="C87" s="134"/>
      <c r="D87" s="134"/>
      <c r="E87" s="272" t="s">
        <v>97</v>
      </c>
      <c r="F87" s="272" t="s">
        <v>98</v>
      </c>
      <c r="G87" s="272" t="s">
        <v>99</v>
      </c>
      <c r="H87" s="272" t="s">
        <v>100</v>
      </c>
      <c r="I87" s="272" t="s">
        <v>101</v>
      </c>
    </row>
    <row r="88" spans="1:9" ht="15">
      <c r="A88" s="94"/>
      <c r="B88" s="134"/>
      <c r="C88" s="134"/>
      <c r="D88" s="134"/>
      <c r="E88" s="267" t="s">
        <v>102</v>
      </c>
      <c r="F88" s="267" t="s">
        <v>102</v>
      </c>
      <c r="G88" s="267" t="s">
        <v>102</v>
      </c>
      <c r="H88" s="267" t="s">
        <v>102</v>
      </c>
      <c r="I88" s="267" t="s">
        <v>102</v>
      </c>
    </row>
    <row r="89" spans="1:9" ht="15">
      <c r="A89" s="94"/>
      <c r="B89" s="134"/>
      <c r="C89" s="134"/>
      <c r="D89" s="134"/>
      <c r="E89" s="267"/>
      <c r="F89" s="267"/>
      <c r="G89" s="267"/>
      <c r="H89" s="267"/>
      <c r="I89" s="267"/>
    </row>
    <row r="90" spans="1:9" ht="15">
      <c r="A90" s="94"/>
      <c r="B90" s="94" t="s">
        <v>335</v>
      </c>
      <c r="C90" s="134"/>
      <c r="D90" s="150"/>
      <c r="E90" s="267"/>
      <c r="F90" s="267"/>
      <c r="G90" s="267"/>
      <c r="H90" s="267"/>
      <c r="I90" s="267"/>
    </row>
    <row r="91" spans="1:9" ht="15">
      <c r="A91" s="94"/>
      <c r="B91" s="116" t="s">
        <v>45</v>
      </c>
      <c r="C91" s="134"/>
      <c r="D91" s="134"/>
      <c r="E91" s="135"/>
      <c r="F91" s="135"/>
      <c r="G91" s="135"/>
      <c r="H91" s="135"/>
      <c r="I91" s="135"/>
    </row>
    <row r="92" spans="1:9" ht="15">
      <c r="A92" s="94"/>
      <c r="B92" s="136" t="s">
        <v>237</v>
      </c>
      <c r="C92" s="137"/>
      <c r="D92" s="137"/>
      <c r="E92" s="142">
        <v>86243</v>
      </c>
      <c r="F92" s="142">
        <v>28448</v>
      </c>
      <c r="G92" s="142">
        <v>0</v>
      </c>
      <c r="H92" s="139">
        <v>0</v>
      </c>
      <c r="I92" s="139">
        <f>SUM(E92:H92)</f>
        <v>114691</v>
      </c>
    </row>
    <row r="93" spans="1:9" ht="15">
      <c r="A93" s="94"/>
      <c r="B93" s="136" t="s">
        <v>103</v>
      </c>
      <c r="C93" s="137"/>
      <c r="D93" s="137"/>
      <c r="E93" s="139">
        <v>0</v>
      </c>
      <c r="F93" s="139">
        <v>513</v>
      </c>
      <c r="G93" s="139">
        <v>0</v>
      </c>
      <c r="H93" s="139">
        <f>-513</f>
        <v>-513</v>
      </c>
      <c r="I93" s="139">
        <f>SUM(E93:H93)</f>
        <v>0</v>
      </c>
    </row>
    <row r="94" spans="1:13" ht="15.75" thickBot="1">
      <c r="A94" s="94"/>
      <c r="B94" s="136" t="s">
        <v>104</v>
      </c>
      <c r="C94" s="137"/>
      <c r="D94" s="137"/>
      <c r="E94" s="138">
        <f>SUM(E92:E93)</f>
        <v>86243</v>
      </c>
      <c r="F94" s="138">
        <f>SUM(F92:F93)</f>
        <v>28961</v>
      </c>
      <c r="G94" s="138">
        <f>SUM(G92:G93)</f>
        <v>0</v>
      </c>
      <c r="H94" s="138">
        <f>SUM(H92:H93)</f>
        <v>-513</v>
      </c>
      <c r="I94" s="138">
        <f>SUM(I92:I93)</f>
        <v>114691</v>
      </c>
      <c r="J94" s="29">
        <f>I94-'[1]IS'!H16</f>
        <v>-289342</v>
      </c>
      <c r="M94" s="29">
        <f>I94-'IS'!H16</f>
        <v>0</v>
      </c>
    </row>
    <row r="95" spans="1:9" ht="15.75" thickTop="1">
      <c r="A95" s="94"/>
      <c r="B95" s="136"/>
      <c r="C95" s="137"/>
      <c r="D95" s="137"/>
      <c r="E95" s="139"/>
      <c r="F95" s="139"/>
      <c r="G95" s="139"/>
      <c r="H95" s="139"/>
      <c r="I95" s="139"/>
    </row>
    <row r="96" spans="1:9" ht="15">
      <c r="A96" s="94"/>
      <c r="B96" s="140" t="s">
        <v>168</v>
      </c>
      <c r="C96" s="137"/>
      <c r="D96" s="137"/>
      <c r="E96" s="139"/>
      <c r="F96" s="139"/>
      <c r="G96" s="139"/>
      <c r="H96" s="139"/>
      <c r="I96" s="139"/>
    </row>
    <row r="97" spans="1:10" ht="15">
      <c r="A97" s="94"/>
      <c r="B97" s="136" t="s">
        <v>257</v>
      </c>
      <c r="C97" s="137"/>
      <c r="D97" s="137"/>
      <c r="E97" s="139">
        <v>12478</v>
      </c>
      <c r="F97" s="139">
        <v>1559</v>
      </c>
      <c r="G97" s="139">
        <f>-25</f>
        <v>-25</v>
      </c>
      <c r="H97" s="139">
        <v>0</v>
      </c>
      <c r="I97" s="139">
        <f>SUM(E97:H97)</f>
        <v>14012</v>
      </c>
      <c r="J97" s="29" t="s">
        <v>240</v>
      </c>
    </row>
    <row r="98" spans="1:13" ht="15">
      <c r="A98" s="94"/>
      <c r="B98" s="136" t="s">
        <v>222</v>
      </c>
      <c r="C98" s="137"/>
      <c r="D98" s="137"/>
      <c r="E98" s="143">
        <f>-464</f>
        <v>-464</v>
      </c>
      <c r="F98" s="143">
        <f>-151</f>
        <v>-151</v>
      </c>
      <c r="G98" s="143">
        <v>0</v>
      </c>
      <c r="H98" s="143">
        <v>0</v>
      </c>
      <c r="I98" s="143">
        <f>SUM(E98:H98)</f>
        <v>-615</v>
      </c>
      <c r="J98" s="29">
        <f>I98-'[1]IS'!H30</f>
        <v>2280</v>
      </c>
      <c r="M98" s="29">
        <f>I98-'IS'!H30</f>
        <v>0</v>
      </c>
    </row>
    <row r="99" spans="1:10" ht="15">
      <c r="A99" s="94"/>
      <c r="B99" s="136" t="s">
        <v>46</v>
      </c>
      <c r="C99" s="137"/>
      <c r="D99" s="137"/>
      <c r="E99" s="143">
        <v>32</v>
      </c>
      <c r="F99" s="143">
        <v>19</v>
      </c>
      <c r="G99" s="143">
        <v>21</v>
      </c>
      <c r="H99" s="143">
        <v>0</v>
      </c>
      <c r="I99" s="143">
        <f>SUM(E99:H99)</f>
        <v>72</v>
      </c>
      <c r="J99" s="29"/>
    </row>
    <row r="100" spans="1:9" ht="15">
      <c r="A100" s="94"/>
      <c r="B100" s="136" t="s">
        <v>239</v>
      </c>
      <c r="C100" s="137"/>
      <c r="D100" s="137"/>
      <c r="E100" s="154">
        <f>-3494</f>
        <v>-3494</v>
      </c>
      <c r="F100" s="154">
        <f>-581</f>
        <v>-581</v>
      </c>
      <c r="G100" s="144">
        <v>0</v>
      </c>
      <c r="H100" s="144">
        <v>0</v>
      </c>
      <c r="I100" s="144">
        <f>SUM(E100:H100)</f>
        <v>-4075</v>
      </c>
    </row>
    <row r="101" spans="1:13" ht="15.75" thickBot="1">
      <c r="A101" s="94"/>
      <c r="B101" s="136" t="s">
        <v>266</v>
      </c>
      <c r="C101" s="137"/>
      <c r="D101" s="137"/>
      <c r="E101" s="141">
        <f>SUM(E97:E100)</f>
        <v>8552</v>
      </c>
      <c r="F101" s="141">
        <f>SUM(F97:F100)</f>
        <v>846</v>
      </c>
      <c r="G101" s="141">
        <f>SUM(G97:G100)</f>
        <v>-4</v>
      </c>
      <c r="H101" s="141">
        <f>SUM(H97:H100)</f>
        <v>0</v>
      </c>
      <c r="I101" s="141">
        <f>SUM(I97:I100)</f>
        <v>9394</v>
      </c>
      <c r="J101" s="29">
        <f>I101-'[1]IS'!H32</f>
        <v>-9552</v>
      </c>
      <c r="M101" s="29">
        <f>I101-'IS'!H32</f>
        <v>0</v>
      </c>
    </row>
    <row r="102" spans="1:9" ht="15.75" thickTop="1">
      <c r="A102" s="94"/>
      <c r="B102" s="134"/>
      <c r="C102" s="137"/>
      <c r="D102" s="137"/>
      <c r="E102" s="139"/>
      <c r="F102" s="139"/>
      <c r="G102" s="139"/>
      <c r="H102" s="139"/>
      <c r="I102" s="139"/>
    </row>
    <row r="103" spans="1:13" ht="15.75" thickBot="1">
      <c r="A103" s="94"/>
      <c r="B103" s="140" t="s">
        <v>105</v>
      </c>
      <c r="C103" s="137"/>
      <c r="D103" s="137"/>
      <c r="E103" s="145">
        <v>455135</v>
      </c>
      <c r="F103" s="145">
        <v>73359</v>
      </c>
      <c r="G103" s="145">
        <v>185554</v>
      </c>
      <c r="H103" s="145">
        <f>-222684</f>
        <v>-222684</v>
      </c>
      <c r="I103" s="145">
        <f>SUM(E103:H103)</f>
        <v>491364</v>
      </c>
      <c r="M103" s="29"/>
    </row>
    <row r="104" spans="1:9" ht="15.75" thickTop="1">
      <c r="A104" s="94"/>
      <c r="B104" s="136"/>
      <c r="C104" s="137"/>
      <c r="D104" s="137"/>
      <c r="E104" s="81"/>
      <c r="F104" s="81"/>
      <c r="G104" s="81"/>
      <c r="H104" s="81"/>
      <c r="I104" s="81"/>
    </row>
    <row r="105" spans="1:13" ht="15.75" thickBot="1">
      <c r="A105" s="94"/>
      <c r="B105" s="140" t="s">
        <v>106</v>
      </c>
      <c r="C105" s="137"/>
      <c r="D105" s="137"/>
      <c r="E105" s="145">
        <v>221819</v>
      </c>
      <c r="F105" s="145">
        <v>16985</v>
      </c>
      <c r="G105" s="145">
        <v>209</v>
      </c>
      <c r="H105" s="145">
        <f>-48593</f>
        <v>-48593</v>
      </c>
      <c r="I105" s="145">
        <f>SUM(E105:H105)</f>
        <v>190420</v>
      </c>
      <c r="M105" s="29"/>
    </row>
    <row r="106" spans="1:9" ht="15.75" thickTop="1">
      <c r="A106" s="94"/>
      <c r="B106" s="268"/>
      <c r="C106" s="137"/>
      <c r="D106" s="137"/>
      <c r="E106" s="137"/>
      <c r="F106" s="137"/>
      <c r="G106" s="137"/>
      <c r="H106" s="137"/>
      <c r="I106" s="137"/>
    </row>
    <row r="107" spans="1:9" ht="15">
      <c r="A107" s="94"/>
      <c r="B107" s="268" t="s">
        <v>242</v>
      </c>
      <c r="C107" s="137"/>
      <c r="D107" s="137"/>
      <c r="E107" s="137"/>
      <c r="F107" s="137"/>
      <c r="G107" s="137"/>
      <c r="H107" s="137"/>
      <c r="I107" s="137"/>
    </row>
    <row r="108" spans="1:9" ht="15">
      <c r="A108" s="94"/>
      <c r="B108" s="137"/>
      <c r="C108" s="137"/>
      <c r="D108" s="137"/>
      <c r="E108" s="134"/>
      <c r="F108" s="332"/>
      <c r="G108" s="332"/>
      <c r="H108" s="332"/>
      <c r="I108" s="137"/>
    </row>
    <row r="109" spans="1:9" ht="15.75" customHeight="1">
      <c r="A109" s="94"/>
      <c r="B109" s="146"/>
      <c r="C109" s="147"/>
      <c r="D109" s="134"/>
      <c r="E109" s="134"/>
      <c r="F109" s="328" t="s">
        <v>45</v>
      </c>
      <c r="G109" s="328"/>
      <c r="H109" s="328" t="s">
        <v>238</v>
      </c>
      <c r="I109" s="328"/>
    </row>
    <row r="110" spans="1:9" ht="15.75" customHeight="1">
      <c r="A110" s="94"/>
      <c r="B110" s="146"/>
      <c r="C110" s="147"/>
      <c r="D110" s="134"/>
      <c r="E110" s="134"/>
      <c r="F110" s="329" t="s">
        <v>336</v>
      </c>
      <c r="G110" s="329"/>
      <c r="H110" s="329" t="s">
        <v>336</v>
      </c>
      <c r="I110" s="329"/>
    </row>
    <row r="111" spans="1:9" ht="15.75" customHeight="1">
      <c r="A111" s="94"/>
      <c r="B111" s="146"/>
      <c r="C111" s="147"/>
      <c r="D111" s="134"/>
      <c r="E111" s="134"/>
      <c r="F111" s="269" t="s">
        <v>44</v>
      </c>
      <c r="G111" s="148" t="s">
        <v>44</v>
      </c>
      <c r="H111" s="269" t="s">
        <v>44</v>
      </c>
      <c r="I111" s="148" t="s">
        <v>44</v>
      </c>
    </row>
    <row r="112" spans="1:9" ht="15">
      <c r="A112" s="94"/>
      <c r="B112" s="146"/>
      <c r="C112" s="147"/>
      <c r="D112" s="134"/>
      <c r="E112" s="134"/>
      <c r="F112" s="267" t="str">
        <f>'IS'!F13</f>
        <v>30.9.11</v>
      </c>
      <c r="G112" s="4" t="str">
        <f>'IS'!H13</f>
        <v>30.9.10</v>
      </c>
      <c r="H112" s="267" t="str">
        <f>F112</f>
        <v>30.9.11</v>
      </c>
      <c r="I112" s="4" t="str">
        <f>G112</f>
        <v>30.9.10</v>
      </c>
    </row>
    <row r="113" spans="1:16" ht="15">
      <c r="A113" s="94"/>
      <c r="B113" s="271"/>
      <c r="C113" s="271"/>
      <c r="D113" s="134"/>
      <c r="E113" s="134"/>
      <c r="F113" s="269" t="s">
        <v>102</v>
      </c>
      <c r="G113" s="148" t="s">
        <v>102</v>
      </c>
      <c r="H113" s="269" t="s">
        <v>102</v>
      </c>
      <c r="I113" s="148" t="s">
        <v>102</v>
      </c>
      <c r="J113" s="6"/>
      <c r="P113" s="77">
        <v>6203</v>
      </c>
    </row>
    <row r="114" spans="1:10" ht="15">
      <c r="A114" s="94"/>
      <c r="B114" s="271"/>
      <c r="C114" s="271"/>
      <c r="D114" s="134"/>
      <c r="E114" s="134"/>
      <c r="F114" s="269"/>
      <c r="G114" s="148"/>
      <c r="H114" s="286"/>
      <c r="I114" s="148"/>
      <c r="J114" s="6"/>
    </row>
    <row r="115" spans="1:20" ht="15">
      <c r="A115" s="94"/>
      <c r="B115" s="149" t="s">
        <v>107</v>
      </c>
      <c r="C115" s="146"/>
      <c r="D115" s="134"/>
      <c r="E115" s="150"/>
      <c r="F115" s="295">
        <f>32596-11585+518</f>
        <v>21529</v>
      </c>
      <c r="G115" s="151">
        <v>25231</v>
      </c>
      <c r="H115" s="287">
        <v>97441</v>
      </c>
      <c r="I115" s="81">
        <v>96214</v>
      </c>
      <c r="O115" s="198">
        <f>14796152.46-5983.89+12535230.94</f>
        <v>27325399.509999998</v>
      </c>
      <c r="P115" s="198">
        <f>14404877.18+11142287.23</f>
        <v>25547164.41</v>
      </c>
      <c r="Q115" s="198"/>
      <c r="R115" s="198">
        <f>8570536.39+8655737.98</f>
        <v>17226274.37</v>
      </c>
      <c r="S115" s="199"/>
      <c r="T115" s="200">
        <f>SUM(O115:R115)</f>
        <v>70098838.29</v>
      </c>
    </row>
    <row r="116" spans="1:20" ht="15">
      <c r="A116" s="94"/>
      <c r="B116" s="149" t="s">
        <v>108</v>
      </c>
      <c r="C116" s="146"/>
      <c r="D116" s="134"/>
      <c r="E116" s="150"/>
      <c r="F116" s="295">
        <v>5935</v>
      </c>
      <c r="G116" s="151">
        <v>3782</v>
      </c>
      <c r="H116" s="287">
        <v>95200</v>
      </c>
      <c r="I116" s="81">
        <v>100411</v>
      </c>
      <c r="O116" s="198">
        <f>1273746.67+1287728.1</f>
        <v>2561474.77</v>
      </c>
      <c r="P116" s="198"/>
      <c r="Q116" s="198">
        <f>((2391330000+3502545600)/P113)-15631</f>
        <v>934534.3393519265</v>
      </c>
      <c r="R116" s="198"/>
      <c r="S116" s="199"/>
      <c r="T116" s="200">
        <f aca="true" t="shared" si="0" ref="T116:T125">SUM(O116:R116)</f>
        <v>3496009.1093519265</v>
      </c>
    </row>
    <row r="117" spans="1:20" ht="15">
      <c r="A117" s="94"/>
      <c r="B117" s="149" t="s">
        <v>109</v>
      </c>
      <c r="C117" s="146"/>
      <c r="D117" s="134"/>
      <c r="E117" s="150"/>
      <c r="F117" s="295">
        <v>23644</v>
      </c>
      <c r="G117" s="151">
        <v>23161</v>
      </c>
      <c r="H117" s="227">
        <v>0</v>
      </c>
      <c r="I117" s="142">
        <v>0</v>
      </c>
      <c r="O117" s="201">
        <v>0</v>
      </c>
      <c r="P117" s="201"/>
      <c r="Q117" s="201">
        <f>(10125811670+5367196778)/P113</f>
        <v>2497663.7833306463</v>
      </c>
      <c r="R117" s="201">
        <v>2341170.16</v>
      </c>
      <c r="S117" s="202"/>
      <c r="T117" s="203">
        <f t="shared" si="0"/>
        <v>4838833.9433306465</v>
      </c>
    </row>
    <row r="118" spans="1:20" ht="15">
      <c r="A118" s="94"/>
      <c r="B118" s="149" t="s">
        <v>110</v>
      </c>
      <c r="C118" s="146"/>
      <c r="D118" s="134"/>
      <c r="E118" s="150"/>
      <c r="F118" s="295">
        <v>68258</v>
      </c>
      <c r="G118" s="151">
        <v>51054</v>
      </c>
      <c r="H118" s="227">
        <v>0</v>
      </c>
      <c r="I118" s="142">
        <v>0</v>
      </c>
      <c r="O118" s="204">
        <f>9972729.71+9255757.07</f>
        <v>19228486.78</v>
      </c>
      <c r="P118" s="204"/>
      <c r="Q118" s="204">
        <f>(3971260015+10626927634)/P113</f>
        <v>2353407.6493632114</v>
      </c>
      <c r="R118" s="204">
        <f>13874238.83+12115788.15</f>
        <v>25990026.98</v>
      </c>
      <c r="S118" s="205"/>
      <c r="T118" s="206">
        <f t="shared" si="0"/>
        <v>47571921.40936321</v>
      </c>
    </row>
    <row r="119" spans="1:20" ht="15">
      <c r="A119" s="94"/>
      <c r="B119" s="149" t="s">
        <v>99</v>
      </c>
      <c r="C119" s="146"/>
      <c r="D119" s="134"/>
      <c r="E119" s="150"/>
      <c r="F119" s="295">
        <v>14951</v>
      </c>
      <c r="G119" s="151">
        <v>11463</v>
      </c>
      <c r="H119" s="227">
        <v>0</v>
      </c>
      <c r="I119" s="142">
        <v>0</v>
      </c>
      <c r="O119" s="204">
        <f>195125.6+63270.37</f>
        <v>258395.97</v>
      </c>
      <c r="P119" s="204"/>
      <c r="Q119" s="204"/>
      <c r="R119" s="204"/>
      <c r="S119" s="205"/>
      <c r="T119" s="206">
        <f t="shared" si="0"/>
        <v>258395.97</v>
      </c>
    </row>
    <row r="120" spans="1:20" ht="15">
      <c r="A120" s="94"/>
      <c r="B120" s="152"/>
      <c r="C120" s="153"/>
      <c r="D120" s="134"/>
      <c r="E120" s="150"/>
      <c r="F120" s="294"/>
      <c r="G120" s="154"/>
      <c r="H120" s="288"/>
      <c r="I120" s="155"/>
      <c r="O120" s="207">
        <f>18752567.46+20360631.18</f>
        <v>39113198.64</v>
      </c>
      <c r="P120" s="207"/>
      <c r="Q120" s="207">
        <f>(252626628399+187542544065)/P113</f>
        <v>70960691.99806546</v>
      </c>
      <c r="R120" s="207">
        <v>72027.5</v>
      </c>
      <c r="S120" s="208"/>
      <c r="T120" s="209">
        <f t="shared" si="0"/>
        <v>110145918.13806546</v>
      </c>
    </row>
    <row r="121" spans="1:20" ht="15.75" thickBot="1">
      <c r="A121" s="94"/>
      <c r="B121" s="146"/>
      <c r="C121" s="146"/>
      <c r="D121" s="134"/>
      <c r="E121" s="134"/>
      <c r="F121" s="289">
        <f>SUM(F115:F119)</f>
        <v>134317</v>
      </c>
      <c r="G121" s="156">
        <f>SUM(G115:G120)</f>
        <v>114691</v>
      </c>
      <c r="H121" s="289">
        <f>SUM(H115:H119)</f>
        <v>192641</v>
      </c>
      <c r="I121" s="156">
        <v>210404</v>
      </c>
      <c r="J121" s="29">
        <f>F121-'[1]IS'!F16</f>
        <v>-368270</v>
      </c>
      <c r="K121" s="29">
        <f>H121-'[1]BS'!C20+'[1]BS'!C19+'[1]BS'!C18</f>
        <v>4348</v>
      </c>
      <c r="M121" s="29">
        <f>F121-'IS'!F16</f>
        <v>0</v>
      </c>
      <c r="N121" s="29"/>
      <c r="O121" s="207">
        <f>383093.54+160880.05</f>
        <v>543973.59</v>
      </c>
      <c r="P121" s="207"/>
      <c r="Q121" s="207"/>
      <c r="R121" s="207"/>
      <c r="S121" s="208"/>
      <c r="T121" s="209">
        <f t="shared" si="0"/>
        <v>543973.59</v>
      </c>
    </row>
    <row r="122" spans="1:20" ht="15.75" thickTop="1">
      <c r="A122" s="94"/>
      <c r="B122" s="134"/>
      <c r="C122" s="134"/>
      <c r="D122" s="134"/>
      <c r="E122" s="134"/>
      <c r="F122" s="157"/>
      <c r="G122" s="134"/>
      <c r="H122" s="134"/>
      <c r="I122" s="134"/>
      <c r="O122" s="210">
        <f>117793.56+420106.29</f>
        <v>537899.85</v>
      </c>
      <c r="P122" s="210"/>
      <c r="Q122" s="210">
        <f>31410099999/P113</f>
        <v>5063694.986135741</v>
      </c>
      <c r="R122" s="210"/>
      <c r="S122" s="211"/>
      <c r="T122" s="212">
        <f t="shared" si="0"/>
        <v>5601594.83613574</v>
      </c>
    </row>
    <row r="123" spans="1:20" ht="15">
      <c r="A123" s="94" t="s">
        <v>116</v>
      </c>
      <c r="B123" s="94" t="s">
        <v>111</v>
      </c>
      <c r="C123" s="134"/>
      <c r="D123" s="134"/>
      <c r="E123" s="134"/>
      <c r="F123" s="134"/>
      <c r="G123" s="134"/>
      <c r="H123" s="134"/>
      <c r="I123" s="134"/>
      <c r="O123" s="210">
        <v>431659.16</v>
      </c>
      <c r="P123" s="210"/>
      <c r="Q123" s="210">
        <f>40641528464/P113</f>
        <v>6551914.954699339</v>
      </c>
      <c r="R123" s="210">
        <f>5116867.73+5776064.77</f>
        <v>10892932.5</v>
      </c>
      <c r="S123" s="211"/>
      <c r="T123" s="212">
        <f t="shared" si="0"/>
        <v>17876506.61469934</v>
      </c>
    </row>
    <row r="124" spans="1:20" ht="15">
      <c r="A124" s="94"/>
      <c r="B124" s="94"/>
      <c r="C124" s="134"/>
      <c r="D124" s="134"/>
      <c r="E124" s="134"/>
      <c r="F124" s="134"/>
      <c r="G124" s="134"/>
      <c r="H124" s="134"/>
      <c r="I124" s="134"/>
      <c r="O124" s="210">
        <f>248615.4+165229.96</f>
        <v>413845.36</v>
      </c>
      <c r="P124" s="210"/>
      <c r="Q124" s="210"/>
      <c r="R124" s="210"/>
      <c r="S124" s="211"/>
      <c r="T124" s="212">
        <f t="shared" si="0"/>
        <v>413845.36</v>
      </c>
    </row>
    <row r="125" spans="1:20" ht="30.75" customHeight="1">
      <c r="A125" s="94"/>
      <c r="B125" s="315" t="s">
        <v>112</v>
      </c>
      <c r="C125" s="315"/>
      <c r="D125" s="315"/>
      <c r="E125" s="315"/>
      <c r="F125" s="315"/>
      <c r="G125" s="315"/>
      <c r="H125" s="315"/>
      <c r="I125" s="315"/>
      <c r="O125" s="197">
        <f>SUM(O115:O124)</f>
        <v>90414333.63</v>
      </c>
      <c r="P125" s="197">
        <f>SUM(P115:P124)</f>
        <v>25547164.41</v>
      </c>
      <c r="Q125" s="197">
        <f>SUM(Q115:Q124)</f>
        <v>88361907.7109463</v>
      </c>
      <c r="R125" s="197">
        <f>SUM(R115:R124)</f>
        <v>56522431.510000005</v>
      </c>
      <c r="T125" s="32">
        <f t="shared" si="0"/>
        <v>260845837.26094627</v>
      </c>
    </row>
    <row r="126" spans="1:19" ht="15">
      <c r="A126" s="94"/>
      <c r="B126" s="134"/>
      <c r="C126" s="134"/>
      <c r="D126" s="134"/>
      <c r="E126" s="134"/>
      <c r="F126" s="134"/>
      <c r="G126" s="134"/>
      <c r="H126" s="134"/>
      <c r="I126" s="134"/>
      <c r="S126" s="29"/>
    </row>
    <row r="127" spans="1:19" ht="15">
      <c r="A127" s="94" t="s">
        <v>117</v>
      </c>
      <c r="B127" s="94" t="s">
        <v>279</v>
      </c>
      <c r="C127" s="134"/>
      <c r="D127" s="134"/>
      <c r="E127" s="134"/>
      <c r="F127" s="134"/>
      <c r="G127" s="134"/>
      <c r="H127" s="134"/>
      <c r="I127" s="134"/>
      <c r="N127" s="197"/>
      <c r="S127" s="32"/>
    </row>
    <row r="128" spans="1:9" ht="15">
      <c r="A128" s="94"/>
      <c r="B128" s="94"/>
      <c r="C128" s="134"/>
      <c r="D128" s="134"/>
      <c r="E128" s="134"/>
      <c r="F128" s="134"/>
      <c r="G128" s="134"/>
      <c r="H128" s="134"/>
      <c r="I128" s="134"/>
    </row>
    <row r="129" spans="1:9" s="46" customFormat="1" ht="35.25" customHeight="1">
      <c r="A129" s="68"/>
      <c r="B129" s="326" t="s">
        <v>280</v>
      </c>
      <c r="C129" s="326"/>
      <c r="D129" s="326"/>
      <c r="E129" s="326"/>
      <c r="F129" s="326"/>
      <c r="G129" s="326"/>
      <c r="H129" s="326"/>
      <c r="I129" s="326"/>
    </row>
    <row r="130" spans="1:9" ht="15">
      <c r="A130" s="68"/>
      <c r="B130" s="150"/>
      <c r="C130" s="150"/>
      <c r="D130" s="150"/>
      <c r="E130" s="150"/>
      <c r="F130" s="150"/>
      <c r="G130" s="150"/>
      <c r="H130" s="150"/>
      <c r="I130" s="150"/>
    </row>
    <row r="131" spans="1:9" s="27" customFormat="1" ht="15">
      <c r="A131" s="158" t="s">
        <v>264</v>
      </c>
      <c r="B131" s="191" t="s">
        <v>263</v>
      </c>
      <c r="C131" s="63"/>
      <c r="D131" s="63"/>
      <c r="E131" s="63"/>
      <c r="F131" s="63"/>
      <c r="G131" s="63"/>
      <c r="H131" s="63"/>
      <c r="I131" s="63"/>
    </row>
    <row r="132" spans="1:9" ht="15">
      <c r="A132" s="59"/>
      <c r="B132" s="150"/>
      <c r="C132" s="150"/>
      <c r="D132" s="150"/>
      <c r="E132" s="150"/>
      <c r="F132" s="150"/>
      <c r="G132" s="150"/>
      <c r="H132" s="150"/>
      <c r="I132" s="150"/>
    </row>
    <row r="133" spans="1:9" ht="15">
      <c r="A133" s="59"/>
      <c r="B133" s="330" t="s">
        <v>281</v>
      </c>
      <c r="C133" s="330"/>
      <c r="D133" s="330"/>
      <c r="E133" s="330"/>
      <c r="F133" s="330"/>
      <c r="G133" s="330"/>
      <c r="H133" s="330"/>
      <c r="I133" s="330"/>
    </row>
    <row r="134" spans="1:9" ht="15">
      <c r="A134" s="68"/>
      <c r="B134" s="150"/>
      <c r="C134" s="150"/>
      <c r="D134" s="150"/>
      <c r="E134" s="150"/>
      <c r="F134" s="150"/>
      <c r="G134" s="150"/>
      <c r="H134" s="150"/>
      <c r="I134" s="150"/>
    </row>
    <row r="135" spans="1:9" ht="15">
      <c r="A135" s="68" t="s">
        <v>265</v>
      </c>
      <c r="B135" s="68" t="s">
        <v>113</v>
      </c>
      <c r="C135" s="150"/>
      <c r="D135" s="150"/>
      <c r="E135" s="150"/>
      <c r="F135" s="150"/>
      <c r="G135" s="150"/>
      <c r="H135" s="150"/>
      <c r="I135" s="150"/>
    </row>
    <row r="136" spans="1:9" ht="15">
      <c r="A136" s="68"/>
      <c r="B136" s="68"/>
      <c r="C136" s="150"/>
      <c r="D136" s="150"/>
      <c r="E136" s="150"/>
      <c r="F136" s="150"/>
      <c r="G136" s="150"/>
      <c r="H136" s="150"/>
      <c r="I136" s="150"/>
    </row>
    <row r="137" spans="1:9" ht="15">
      <c r="A137" s="68"/>
      <c r="B137" s="331" t="s">
        <v>337</v>
      </c>
      <c r="C137" s="331"/>
      <c r="D137" s="331"/>
      <c r="E137" s="331"/>
      <c r="F137" s="331"/>
      <c r="G137" s="331"/>
      <c r="H137" s="331"/>
      <c r="I137" s="331"/>
    </row>
    <row r="138" spans="1:9" ht="15">
      <c r="A138" s="68"/>
      <c r="B138" s="150"/>
      <c r="C138" s="150"/>
      <c r="D138" s="150"/>
      <c r="E138" s="150"/>
      <c r="F138" s="150"/>
      <c r="G138" s="150"/>
      <c r="H138" s="150"/>
      <c r="I138" s="150"/>
    </row>
    <row r="139" spans="1:9" ht="15">
      <c r="A139" s="68" t="s">
        <v>118</v>
      </c>
      <c r="B139" s="68" t="s">
        <v>114</v>
      </c>
      <c r="C139" s="150"/>
      <c r="D139" s="150"/>
      <c r="E139" s="150"/>
      <c r="F139" s="150"/>
      <c r="G139" s="150"/>
      <c r="H139" s="150"/>
      <c r="I139" s="150"/>
    </row>
    <row r="140" spans="1:9" ht="15">
      <c r="A140" s="68"/>
      <c r="B140" s="68"/>
      <c r="C140" s="150"/>
      <c r="D140" s="150"/>
      <c r="E140" s="150"/>
      <c r="F140" s="150"/>
      <c r="G140" s="150"/>
      <c r="H140" s="150"/>
      <c r="I140" s="159"/>
    </row>
    <row r="141" spans="1:9" s="46" customFormat="1" ht="15.75" customHeight="1">
      <c r="A141" s="68"/>
      <c r="B141" s="323" t="s">
        <v>338</v>
      </c>
      <c r="C141" s="323"/>
      <c r="D141" s="323"/>
      <c r="E141" s="323"/>
      <c r="F141" s="323"/>
      <c r="G141" s="323"/>
      <c r="H141" s="323"/>
      <c r="I141" s="323"/>
    </row>
    <row r="142" spans="1:9" ht="15">
      <c r="A142" s="94"/>
      <c r="B142" s="68"/>
      <c r="C142" s="134"/>
      <c r="D142" s="134"/>
      <c r="E142" s="134"/>
      <c r="F142" s="134"/>
      <c r="G142" s="134"/>
      <c r="H142" s="134"/>
      <c r="I142" s="134"/>
    </row>
    <row r="143" spans="1:9" ht="15">
      <c r="A143" s="68"/>
      <c r="B143" s="3"/>
      <c r="C143" s="150"/>
      <c r="D143" s="150"/>
      <c r="E143" s="150"/>
      <c r="F143" s="150"/>
      <c r="G143" s="150"/>
      <c r="H143" s="150"/>
      <c r="I143" s="160"/>
    </row>
    <row r="144" spans="1:9" ht="15">
      <c r="A144" s="68"/>
      <c r="B144" s="150"/>
      <c r="C144" s="150"/>
      <c r="D144" s="150"/>
      <c r="E144" s="150"/>
      <c r="F144" s="150"/>
      <c r="G144" s="150"/>
      <c r="H144" s="150"/>
      <c r="I144" s="150"/>
    </row>
    <row r="145" spans="1:9" ht="15">
      <c r="A145" s="68"/>
      <c r="B145" s="150"/>
      <c r="C145" s="150"/>
      <c r="D145" s="150"/>
      <c r="E145" s="150"/>
      <c r="F145" s="150"/>
      <c r="G145" s="150"/>
      <c r="H145" s="150"/>
      <c r="I145" s="161"/>
    </row>
    <row r="146" spans="1:9" ht="15">
      <c r="A146" s="68"/>
      <c r="B146" s="150"/>
      <c r="C146" s="150"/>
      <c r="D146" s="150"/>
      <c r="E146" s="150"/>
      <c r="F146" s="150"/>
      <c r="G146" s="150"/>
      <c r="H146" s="150"/>
      <c r="I146" s="161"/>
    </row>
    <row r="147" spans="1:9" ht="15">
      <c r="A147" s="68"/>
      <c r="B147" s="150"/>
      <c r="C147" s="150"/>
      <c r="D147" s="150"/>
      <c r="E147" s="150"/>
      <c r="F147" s="150"/>
      <c r="G147" s="150"/>
      <c r="H147" s="150"/>
      <c r="I147" s="161"/>
    </row>
    <row r="148" spans="1:9" ht="15">
      <c r="A148" s="68"/>
      <c r="B148" s="150"/>
      <c r="C148" s="150"/>
      <c r="D148" s="150"/>
      <c r="E148" s="150"/>
      <c r="F148" s="150"/>
      <c r="G148" s="150"/>
      <c r="H148" s="150"/>
      <c r="I148" s="161"/>
    </row>
    <row r="149" spans="1:9" ht="15">
      <c r="A149" s="68"/>
      <c r="B149" s="150"/>
      <c r="C149" s="150"/>
      <c r="D149" s="150"/>
      <c r="E149" s="150"/>
      <c r="F149" s="150"/>
      <c r="G149" s="150"/>
      <c r="H149" s="150"/>
      <c r="I149" s="161"/>
    </row>
    <row r="150" spans="1:9" ht="15">
      <c r="A150" s="68"/>
      <c r="B150" s="150"/>
      <c r="C150" s="150"/>
      <c r="D150" s="150"/>
      <c r="E150" s="150"/>
      <c r="F150" s="150"/>
      <c r="G150" s="150"/>
      <c r="H150" s="150"/>
      <c r="I150" s="150"/>
    </row>
    <row r="151" spans="1:9" ht="15">
      <c r="A151" s="68"/>
      <c r="B151" s="150"/>
      <c r="C151" s="150"/>
      <c r="D151" s="150"/>
      <c r="E151" s="150"/>
      <c r="F151" s="150"/>
      <c r="G151" s="150"/>
      <c r="H151" s="150"/>
      <c r="I151" s="150"/>
    </row>
    <row r="152" spans="1:9" ht="15">
      <c r="A152" s="68" t="s">
        <v>121</v>
      </c>
      <c r="B152" s="68" t="s">
        <v>119</v>
      </c>
      <c r="C152" s="150"/>
      <c r="D152" s="150"/>
      <c r="E152" s="150"/>
      <c r="F152" s="150"/>
      <c r="G152" s="150"/>
      <c r="H152" s="150"/>
      <c r="I152" s="150"/>
    </row>
    <row r="153" spans="1:9" ht="15">
      <c r="A153" s="94"/>
      <c r="B153" s="134"/>
      <c r="C153" s="134"/>
      <c r="D153" s="134"/>
      <c r="E153" s="134"/>
      <c r="F153" s="324" t="s">
        <v>234</v>
      </c>
      <c r="G153" s="324"/>
      <c r="H153" s="324" t="s">
        <v>235</v>
      </c>
      <c r="I153" s="324"/>
    </row>
    <row r="154" spans="1:9" ht="15">
      <c r="A154" s="68"/>
      <c r="B154" s="150"/>
      <c r="C154" s="150"/>
      <c r="D154" s="150"/>
      <c r="E154" s="150"/>
      <c r="F154" s="325" t="s">
        <v>120</v>
      </c>
      <c r="G154" s="325"/>
      <c r="H154" s="325" t="s">
        <v>120</v>
      </c>
      <c r="I154" s="325"/>
    </row>
    <row r="155" spans="1:9" s="133" customFormat="1" ht="30.75" customHeight="1">
      <c r="A155" s="162"/>
      <c r="B155" s="163"/>
      <c r="C155" s="163"/>
      <c r="D155" s="163"/>
      <c r="E155" s="163"/>
      <c r="F155" s="164" t="s">
        <v>339</v>
      </c>
      <c r="G155" s="164" t="s">
        <v>340</v>
      </c>
      <c r="H155" s="164" t="str">
        <f>F155</f>
        <v>30.9.11
RM’000</v>
      </c>
      <c r="I155" s="164" t="str">
        <f>G155</f>
        <v>30.9.10
RM’000</v>
      </c>
    </row>
    <row r="156" spans="1:9" s="133" customFormat="1" ht="15">
      <c r="A156" s="162"/>
      <c r="B156" s="163"/>
      <c r="C156" s="163"/>
      <c r="D156" s="163"/>
      <c r="E156" s="163"/>
      <c r="F156" s="164"/>
      <c r="G156" s="164"/>
      <c r="H156" s="164"/>
      <c r="I156" s="164"/>
    </row>
    <row r="157" spans="1:14" ht="15">
      <c r="A157" s="68"/>
      <c r="B157" s="150" t="s">
        <v>45</v>
      </c>
      <c r="C157" s="150"/>
      <c r="D157" s="150"/>
      <c r="E157" s="49"/>
      <c r="F157" s="165">
        <f>'IS'!B16</f>
        <v>134317</v>
      </c>
      <c r="G157" s="165">
        <f>'IS'!D16</f>
        <v>114691</v>
      </c>
      <c r="H157" s="165">
        <f>'IS'!F16</f>
        <v>134317</v>
      </c>
      <c r="I157" s="165">
        <f>'IS'!H16</f>
        <v>114691</v>
      </c>
      <c r="J157" s="60">
        <f>(F157-G157)/G157</f>
        <v>0.17112066334760356</v>
      </c>
      <c r="K157" s="60"/>
      <c r="L157" s="60">
        <f>(H157-I157)/I157</f>
        <v>0.17112066334760356</v>
      </c>
      <c r="M157" s="49">
        <f>H157/I157-1</f>
        <v>0.17112066334760345</v>
      </c>
      <c r="N157" s="60"/>
    </row>
    <row r="158" spans="1:13" ht="15">
      <c r="A158" s="68"/>
      <c r="B158" s="150"/>
      <c r="C158" s="150"/>
      <c r="D158" s="150"/>
      <c r="E158" s="150"/>
      <c r="F158" s="165"/>
      <c r="G158" s="165"/>
      <c r="H158" s="165"/>
      <c r="I158" s="165"/>
      <c r="J158" s="46"/>
      <c r="K158" s="60"/>
      <c r="L158" s="46"/>
      <c r="M158" s="60"/>
    </row>
    <row r="159" spans="1:14" ht="15.75" thickBot="1">
      <c r="A159" s="68"/>
      <c r="B159" s="150" t="s">
        <v>63</v>
      </c>
      <c r="C159" s="150"/>
      <c r="D159" s="150"/>
      <c r="E159" s="150"/>
      <c r="F159" s="166">
        <f>'IS'!B32</f>
        <v>25811</v>
      </c>
      <c r="G159" s="129">
        <f>'IS'!D32</f>
        <v>9394</v>
      </c>
      <c r="H159" s="166">
        <f>'IS'!F32</f>
        <v>25811</v>
      </c>
      <c r="I159" s="166">
        <f>'IS'!H32</f>
        <v>9394</v>
      </c>
      <c r="J159" s="60">
        <f>(F159-G159)/G159</f>
        <v>1.747604854162231</v>
      </c>
      <c r="K159" s="60"/>
      <c r="L159" s="60">
        <f>(H159-I159)/I159</f>
        <v>1.747604854162231</v>
      </c>
      <c r="M159" s="49">
        <f>H159/I159-1</f>
        <v>1.747604854162231</v>
      </c>
      <c r="N159" s="60"/>
    </row>
    <row r="160" spans="1:13" ht="15.75" thickTop="1">
      <c r="A160" s="68"/>
      <c r="B160" s="150"/>
      <c r="C160" s="150"/>
      <c r="D160" s="150"/>
      <c r="E160" s="150"/>
      <c r="F160" s="150"/>
      <c r="G160" s="150"/>
      <c r="H160" s="296"/>
      <c r="I160" s="172"/>
      <c r="J160" s="46"/>
      <c r="K160" s="46"/>
      <c r="L160" s="46"/>
      <c r="M160" s="46"/>
    </row>
    <row r="161" spans="1:29" ht="162" customHeight="1">
      <c r="A161" s="68"/>
      <c r="B161" s="337" t="s">
        <v>362</v>
      </c>
      <c r="C161" s="337"/>
      <c r="D161" s="337"/>
      <c r="E161" s="337"/>
      <c r="F161" s="337"/>
      <c r="G161" s="337"/>
      <c r="H161" s="337"/>
      <c r="I161" s="337"/>
      <c r="J161" s="46"/>
      <c r="K161" s="46"/>
      <c r="L161" s="46"/>
      <c r="M161" s="46"/>
      <c r="V161" s="336" t="s">
        <v>361</v>
      </c>
      <c r="W161" s="336"/>
      <c r="X161" s="336"/>
      <c r="Y161" s="336"/>
      <c r="Z161" s="336"/>
      <c r="AA161" s="336"/>
      <c r="AB161" s="336"/>
      <c r="AC161" s="336"/>
    </row>
    <row r="162" spans="1:9" ht="15">
      <c r="A162" s="68"/>
      <c r="B162" s="150"/>
      <c r="C162" s="150"/>
      <c r="D162" s="150"/>
      <c r="E162" s="150"/>
      <c r="F162" s="150"/>
      <c r="G162" s="150"/>
      <c r="H162" s="150"/>
      <c r="I162" s="150"/>
    </row>
    <row r="163" spans="1:9" ht="15">
      <c r="A163" s="68" t="s">
        <v>123</v>
      </c>
      <c r="B163" s="68" t="s">
        <v>122</v>
      </c>
      <c r="C163" s="150"/>
      <c r="D163" s="150"/>
      <c r="E163" s="150"/>
      <c r="F163" s="150"/>
      <c r="G163" s="150"/>
      <c r="H163" s="150"/>
      <c r="I163" s="150"/>
    </row>
    <row r="164" spans="1:9" ht="15">
      <c r="A164" s="68"/>
      <c r="B164" s="150"/>
      <c r="C164" s="150"/>
      <c r="D164" s="150"/>
      <c r="E164" s="150"/>
      <c r="F164" s="150"/>
      <c r="G164" s="150"/>
      <c r="H164" s="150"/>
      <c r="I164" s="150"/>
    </row>
    <row r="165" spans="1:9" ht="28.5">
      <c r="A165" s="68"/>
      <c r="B165" s="150"/>
      <c r="C165" s="150"/>
      <c r="D165" s="150"/>
      <c r="E165" s="150"/>
      <c r="F165" s="150"/>
      <c r="G165" s="272" t="s">
        <v>120</v>
      </c>
      <c r="H165" s="272"/>
      <c r="I165" s="272" t="s">
        <v>120</v>
      </c>
    </row>
    <row r="166" spans="1:12" ht="28.5">
      <c r="A166" s="68"/>
      <c r="B166" s="150"/>
      <c r="C166" s="150"/>
      <c r="D166" s="150"/>
      <c r="E166" s="150"/>
      <c r="F166" s="150"/>
      <c r="G166" s="272" t="str">
        <f>F155</f>
        <v>30.9.11
RM’000</v>
      </c>
      <c r="H166" s="239"/>
      <c r="I166" s="272" t="s">
        <v>291</v>
      </c>
      <c r="L166" s="29"/>
    </row>
    <row r="167" spans="1:12" ht="15">
      <c r="A167" s="68"/>
      <c r="B167" s="150"/>
      <c r="C167" s="150"/>
      <c r="D167" s="150"/>
      <c r="E167" s="150"/>
      <c r="F167" s="150"/>
      <c r="G167" s="272"/>
      <c r="H167" s="239"/>
      <c r="I167" s="272"/>
      <c r="L167" s="29"/>
    </row>
    <row r="168" spans="1:14" ht="15.75" thickBot="1">
      <c r="A168" s="68"/>
      <c r="B168" s="150" t="s">
        <v>63</v>
      </c>
      <c r="C168" s="150"/>
      <c r="D168" s="150"/>
      <c r="E168" s="150"/>
      <c r="F168" s="150"/>
      <c r="G168" s="167">
        <f>F159</f>
        <v>25811</v>
      </c>
      <c r="H168" s="150"/>
      <c r="I168" s="167">
        <v>18379</v>
      </c>
      <c r="J168" s="29" t="s">
        <v>171</v>
      </c>
      <c r="M168" s="60">
        <f>G168/I168-1</f>
        <v>0.4043745579193645</v>
      </c>
      <c r="N168" s="213"/>
    </row>
    <row r="169" spans="1:9" ht="15.75" thickTop="1">
      <c r="A169" s="68"/>
      <c r="B169" s="150"/>
      <c r="C169" s="150"/>
      <c r="D169" s="150"/>
      <c r="E169" s="150"/>
      <c r="F169" s="150"/>
      <c r="G169" s="150"/>
      <c r="H169" s="150"/>
      <c r="I169" s="150"/>
    </row>
    <row r="170" spans="1:9" ht="45.75" customHeight="1">
      <c r="A170" s="68"/>
      <c r="B170" s="337" t="s">
        <v>341</v>
      </c>
      <c r="C170" s="337"/>
      <c r="D170" s="337"/>
      <c r="E170" s="337"/>
      <c r="F170" s="337"/>
      <c r="G170" s="337"/>
      <c r="H170" s="337"/>
      <c r="I170" s="337"/>
    </row>
    <row r="171" spans="1:9" ht="15">
      <c r="A171" s="68"/>
      <c r="B171" s="150"/>
      <c r="C171" s="150"/>
      <c r="D171" s="150"/>
      <c r="E171" s="150"/>
      <c r="F171" s="150"/>
      <c r="G171" s="150"/>
      <c r="H171" s="150"/>
      <c r="I171" s="150"/>
    </row>
    <row r="172" spans="1:9" ht="15">
      <c r="A172" s="68" t="s">
        <v>127</v>
      </c>
      <c r="B172" s="68" t="s">
        <v>124</v>
      </c>
      <c r="C172" s="150"/>
      <c r="D172" s="150"/>
      <c r="E172" s="150"/>
      <c r="F172" s="150"/>
      <c r="G172" s="150"/>
      <c r="H172" s="150"/>
      <c r="I172" s="150"/>
    </row>
    <row r="173" spans="1:9" ht="15">
      <c r="A173" s="68"/>
      <c r="B173" s="68"/>
      <c r="C173" s="150"/>
      <c r="D173" s="150"/>
      <c r="E173" s="150"/>
      <c r="F173" s="150"/>
      <c r="G173" s="150"/>
      <c r="H173" s="150"/>
      <c r="I173" s="150"/>
    </row>
    <row r="174" spans="1:9" ht="33" customHeight="1">
      <c r="A174" s="68"/>
      <c r="B174" s="326" t="s">
        <v>357</v>
      </c>
      <c r="C174" s="326"/>
      <c r="D174" s="326"/>
      <c r="E174" s="326"/>
      <c r="F174" s="326"/>
      <c r="G174" s="326"/>
      <c r="H174" s="326"/>
      <c r="I174" s="326"/>
    </row>
    <row r="175" spans="1:9" ht="15">
      <c r="A175" s="68"/>
      <c r="B175" s="150"/>
      <c r="C175" s="150"/>
      <c r="D175" s="150"/>
      <c r="E175" s="150"/>
      <c r="F175" s="150"/>
      <c r="G175" s="150"/>
      <c r="H175" s="150"/>
      <c r="I175" s="150"/>
    </row>
    <row r="176" spans="1:9" ht="15">
      <c r="A176" s="94" t="s">
        <v>128</v>
      </c>
      <c r="B176" s="94" t="s">
        <v>125</v>
      </c>
      <c r="C176" s="134"/>
      <c r="D176" s="134"/>
      <c r="E176" s="134"/>
      <c r="F176" s="134"/>
      <c r="G176" s="134"/>
      <c r="H176" s="134"/>
      <c r="I176" s="134"/>
    </row>
    <row r="177" spans="1:9" ht="15">
      <c r="A177" s="94"/>
      <c r="B177" s="94"/>
      <c r="C177" s="134"/>
      <c r="D177" s="134"/>
      <c r="E177" s="134"/>
      <c r="F177" s="134"/>
      <c r="G177" s="134"/>
      <c r="H177" s="134"/>
      <c r="I177" s="134"/>
    </row>
    <row r="178" spans="1:9" ht="15">
      <c r="A178" s="94"/>
      <c r="B178" s="134" t="s">
        <v>126</v>
      </c>
      <c r="C178" s="134"/>
      <c r="D178" s="134"/>
      <c r="E178" s="134"/>
      <c r="F178" s="134"/>
      <c r="G178" s="134"/>
      <c r="H178" s="134"/>
      <c r="I178" s="134"/>
    </row>
    <row r="179" spans="1:9" ht="15">
      <c r="A179" s="94"/>
      <c r="B179" s="134"/>
      <c r="C179" s="134"/>
      <c r="D179" s="134"/>
      <c r="E179" s="134"/>
      <c r="F179" s="134"/>
      <c r="G179" s="134"/>
      <c r="H179" s="134"/>
      <c r="I179" s="134"/>
    </row>
    <row r="180" spans="1:9" ht="15">
      <c r="A180" s="94"/>
      <c r="B180" s="134"/>
      <c r="C180" s="134"/>
      <c r="D180" s="134"/>
      <c r="E180" s="134"/>
      <c r="F180" s="134"/>
      <c r="G180" s="134"/>
      <c r="H180" s="134"/>
      <c r="I180" s="134"/>
    </row>
    <row r="181" spans="1:9" ht="15">
      <c r="A181" s="94"/>
      <c r="B181" s="134"/>
      <c r="C181" s="134"/>
      <c r="D181" s="134"/>
      <c r="E181" s="134"/>
      <c r="F181" s="134"/>
      <c r="G181" s="134"/>
      <c r="H181" s="134"/>
      <c r="I181" s="134"/>
    </row>
    <row r="182" spans="1:9" ht="15">
      <c r="A182" s="94"/>
      <c r="B182" s="134"/>
      <c r="C182" s="134"/>
      <c r="D182" s="134"/>
      <c r="E182" s="134"/>
      <c r="F182" s="134"/>
      <c r="G182" s="134"/>
      <c r="H182" s="134"/>
      <c r="I182" s="134"/>
    </row>
    <row r="183" spans="1:9" ht="15">
      <c r="A183" s="94" t="s">
        <v>133</v>
      </c>
      <c r="B183" s="94" t="s">
        <v>129</v>
      </c>
      <c r="C183" s="134"/>
      <c r="D183" s="134"/>
      <c r="E183" s="134"/>
      <c r="F183" s="134"/>
      <c r="G183" s="134"/>
      <c r="H183" s="134"/>
      <c r="I183" s="134"/>
    </row>
    <row r="184" spans="1:9" ht="15">
      <c r="A184" s="94"/>
      <c r="B184" s="134"/>
      <c r="C184" s="134"/>
      <c r="D184" s="134"/>
      <c r="E184" s="134"/>
      <c r="F184" s="327" t="str">
        <f>F153</f>
        <v>Individual Quarter</v>
      </c>
      <c r="G184" s="327"/>
      <c r="H184" s="327" t="str">
        <f>H153</f>
        <v>Cumulative Quarter</v>
      </c>
      <c r="I184" s="327"/>
    </row>
    <row r="185" spans="1:9" ht="15">
      <c r="A185" s="94"/>
      <c r="B185" s="134"/>
      <c r="C185" s="134"/>
      <c r="D185" s="134"/>
      <c r="E185" s="134"/>
      <c r="F185" s="320" t="str">
        <f>F154</f>
        <v>3 months ended</v>
      </c>
      <c r="G185" s="320"/>
      <c r="H185" s="320" t="str">
        <f>H154</f>
        <v>3 months ended</v>
      </c>
      <c r="I185" s="320"/>
    </row>
    <row r="186" spans="1:9" s="133" customFormat="1" ht="27.75">
      <c r="A186" s="168"/>
      <c r="B186" s="149"/>
      <c r="C186" s="149"/>
      <c r="D186" s="149"/>
      <c r="E186" s="149"/>
      <c r="F186" s="169" t="str">
        <f>F155</f>
        <v>30.9.11
RM’000</v>
      </c>
      <c r="G186" s="169" t="str">
        <f>G155</f>
        <v>30.9.10
RM’000</v>
      </c>
      <c r="H186" s="169" t="str">
        <f>H155</f>
        <v>30.9.11
RM’000</v>
      </c>
      <c r="I186" s="169" t="str">
        <f>I155</f>
        <v>30.9.10
RM’000</v>
      </c>
    </row>
    <row r="187" spans="1:9" ht="15">
      <c r="A187" s="94"/>
      <c r="B187" s="134" t="s">
        <v>130</v>
      </c>
      <c r="C187" s="134"/>
      <c r="D187" s="134"/>
      <c r="E187" s="134"/>
      <c r="F187" s="81"/>
      <c r="G187" s="81"/>
      <c r="H187" s="81"/>
      <c r="I187" s="81"/>
    </row>
    <row r="188" spans="1:9" ht="15">
      <c r="A188" s="94"/>
      <c r="B188" s="170" t="s">
        <v>131</v>
      </c>
      <c r="C188" s="134"/>
      <c r="D188" s="134"/>
      <c r="E188" s="134"/>
      <c r="F188" s="165">
        <f>-1795</f>
        <v>-1795</v>
      </c>
      <c r="G188" s="165">
        <f>-1928</f>
        <v>-1928</v>
      </c>
      <c r="H188" s="165">
        <f>F188</f>
        <v>-1795</v>
      </c>
      <c r="I188" s="81">
        <f>G188</f>
        <v>-1928</v>
      </c>
    </row>
    <row r="189" spans="1:9" ht="15">
      <c r="A189" s="94"/>
      <c r="B189" s="170" t="s">
        <v>132</v>
      </c>
      <c r="C189" s="134"/>
      <c r="D189" s="134"/>
      <c r="E189" s="134"/>
      <c r="F189" s="165">
        <f>-144</f>
        <v>-144</v>
      </c>
      <c r="G189" s="165">
        <v>271</v>
      </c>
      <c r="H189" s="165">
        <f>F189</f>
        <v>-144</v>
      </c>
      <c r="I189" s="81">
        <f>G189</f>
        <v>271</v>
      </c>
    </row>
    <row r="190" spans="1:13" ht="15.75" thickBot="1">
      <c r="A190" s="94"/>
      <c r="B190" s="134"/>
      <c r="C190" s="134"/>
      <c r="D190" s="134"/>
      <c r="E190" s="134"/>
      <c r="F190" s="183">
        <f>SUM(F188:F189)</f>
        <v>-1939</v>
      </c>
      <c r="G190" s="183">
        <f>SUM(G188:G189)</f>
        <v>-1657</v>
      </c>
      <c r="H190" s="183">
        <f>SUM(H188:H189)</f>
        <v>-1939</v>
      </c>
      <c r="I190" s="171">
        <f>SUM(I188:I189)</f>
        <v>-1657</v>
      </c>
      <c r="K190" s="29"/>
      <c r="M190" s="49"/>
    </row>
    <row r="191" spans="1:9" ht="11.25" customHeight="1" thickTop="1">
      <c r="A191" s="94"/>
      <c r="B191" s="150"/>
      <c r="C191" s="150"/>
      <c r="D191" s="150"/>
      <c r="E191" s="150"/>
      <c r="F191" s="172"/>
      <c r="G191" s="172"/>
      <c r="H191" s="172"/>
      <c r="I191" s="172"/>
    </row>
    <row r="192" spans="1:9" ht="64.5" customHeight="1">
      <c r="A192" s="94"/>
      <c r="B192" s="321" t="s">
        <v>343</v>
      </c>
      <c r="C192" s="321"/>
      <c r="D192" s="321"/>
      <c r="E192" s="321"/>
      <c r="F192" s="321"/>
      <c r="G192" s="321"/>
      <c r="H192" s="321"/>
      <c r="I192" s="321"/>
    </row>
    <row r="193" spans="1:9" ht="15">
      <c r="A193" s="94"/>
      <c r="B193" s="135"/>
      <c r="C193" s="135"/>
      <c r="D193" s="135"/>
      <c r="E193" s="135"/>
      <c r="F193" s="135"/>
      <c r="G193" s="135"/>
      <c r="H193" s="135"/>
      <c r="I193" s="135"/>
    </row>
    <row r="194" spans="1:9" ht="15">
      <c r="A194" s="94" t="s">
        <v>154</v>
      </c>
      <c r="B194" s="214" t="s">
        <v>134</v>
      </c>
      <c r="C194" s="188"/>
      <c r="D194" s="188"/>
      <c r="E194" s="188"/>
      <c r="F194" s="188"/>
      <c r="G194" s="188"/>
      <c r="H194" s="188"/>
      <c r="I194" s="188"/>
    </row>
    <row r="195" spans="1:9" ht="16.5" customHeight="1">
      <c r="A195" s="94"/>
      <c r="B195" s="214"/>
      <c r="C195" s="188"/>
      <c r="D195" s="188"/>
      <c r="E195" s="188"/>
      <c r="F195" s="188"/>
      <c r="G195" s="188"/>
      <c r="H195" s="188"/>
      <c r="I195" s="188"/>
    </row>
    <row r="196" spans="1:9" ht="15">
      <c r="A196" s="94"/>
      <c r="B196" s="322" t="s">
        <v>342</v>
      </c>
      <c r="C196" s="322"/>
      <c r="D196" s="322"/>
      <c r="E196" s="322"/>
      <c r="F196" s="322"/>
      <c r="G196" s="322"/>
      <c r="H196" s="322"/>
      <c r="I196" s="322"/>
    </row>
    <row r="197" spans="1:9" ht="15">
      <c r="A197" s="94"/>
      <c r="B197" s="322"/>
      <c r="C197" s="322"/>
      <c r="D197" s="322"/>
      <c r="E197" s="322"/>
      <c r="F197" s="322"/>
      <c r="G197" s="322"/>
      <c r="H197" s="322"/>
      <c r="I197" s="322"/>
    </row>
    <row r="198" spans="1:9" ht="15">
      <c r="A198" s="94"/>
      <c r="B198" s="322"/>
      <c r="C198" s="322"/>
      <c r="D198" s="322"/>
      <c r="E198" s="322"/>
      <c r="F198" s="322"/>
      <c r="G198" s="322"/>
      <c r="H198" s="322"/>
      <c r="I198" s="322"/>
    </row>
    <row r="199" spans="1:9" ht="15">
      <c r="A199" s="94"/>
      <c r="B199" s="137"/>
      <c r="C199" s="137"/>
      <c r="D199" s="137"/>
      <c r="E199" s="137"/>
      <c r="F199" s="137"/>
      <c r="G199" s="137"/>
      <c r="H199" s="137"/>
      <c r="I199" s="137"/>
    </row>
    <row r="200" spans="1:9" ht="15">
      <c r="A200" s="94" t="s">
        <v>155</v>
      </c>
      <c r="B200" s="268" t="s">
        <v>135</v>
      </c>
      <c r="C200" s="137"/>
      <c r="D200" s="137"/>
      <c r="E200" s="137"/>
      <c r="F200" s="137"/>
      <c r="G200" s="137"/>
      <c r="H200" s="137"/>
      <c r="I200" s="137"/>
    </row>
    <row r="201" spans="1:9" ht="15">
      <c r="A201" s="94"/>
      <c r="B201" s="268"/>
      <c r="C201" s="137"/>
      <c r="D201" s="137"/>
      <c r="E201" s="137"/>
      <c r="F201" s="137"/>
      <c r="G201" s="137"/>
      <c r="H201" s="137"/>
      <c r="I201" s="137"/>
    </row>
    <row r="202" spans="1:9" ht="15">
      <c r="A202" s="94"/>
      <c r="B202" s="315" t="s">
        <v>346</v>
      </c>
      <c r="C202" s="315"/>
      <c r="D202" s="315"/>
      <c r="E202" s="315"/>
      <c r="F202" s="315"/>
      <c r="G202" s="315"/>
      <c r="H202" s="315"/>
      <c r="I202" s="315"/>
    </row>
    <row r="203" spans="1:9" ht="15">
      <c r="A203" s="94"/>
      <c r="B203" s="137"/>
      <c r="C203" s="137"/>
      <c r="D203" s="137"/>
      <c r="E203" s="137"/>
      <c r="F203" s="137"/>
      <c r="G203" s="137"/>
      <c r="H203" s="137"/>
      <c r="I203" s="137"/>
    </row>
    <row r="204" spans="1:9" ht="15">
      <c r="A204" s="94" t="s">
        <v>156</v>
      </c>
      <c r="B204" s="268" t="s">
        <v>136</v>
      </c>
      <c r="C204" s="137"/>
      <c r="D204" s="137"/>
      <c r="E204" s="137"/>
      <c r="F204" s="137"/>
      <c r="G204" s="137"/>
      <c r="H204" s="137"/>
      <c r="I204" s="137"/>
    </row>
    <row r="205" spans="1:9" ht="15">
      <c r="A205" s="94"/>
      <c r="B205" s="268"/>
      <c r="C205" s="137"/>
      <c r="D205" s="137"/>
      <c r="E205" s="137"/>
      <c r="F205" s="137"/>
      <c r="G205" s="137"/>
      <c r="H205" s="137"/>
      <c r="I205" s="137"/>
    </row>
    <row r="206" spans="1:9" ht="15">
      <c r="A206" s="94"/>
      <c r="B206" s="315" t="s">
        <v>243</v>
      </c>
      <c r="C206" s="315"/>
      <c r="D206" s="315"/>
      <c r="E206" s="315"/>
      <c r="F206" s="315"/>
      <c r="G206" s="315"/>
      <c r="H206" s="315"/>
      <c r="I206" s="315"/>
    </row>
    <row r="207" spans="1:9" ht="15">
      <c r="A207" s="94"/>
      <c r="B207" s="134"/>
      <c r="C207" s="134"/>
      <c r="D207" s="134"/>
      <c r="E207" s="134"/>
      <c r="F207" s="134"/>
      <c r="G207" s="134"/>
      <c r="H207" s="134"/>
      <c r="I207" s="134"/>
    </row>
    <row r="208" spans="1:9" ht="15">
      <c r="A208" s="94" t="s">
        <v>157</v>
      </c>
      <c r="B208" s="94" t="s">
        <v>137</v>
      </c>
      <c r="C208" s="134"/>
      <c r="D208" s="134"/>
      <c r="E208" s="134"/>
      <c r="F208" s="134"/>
      <c r="G208" s="134"/>
      <c r="H208" s="134"/>
      <c r="I208" s="134"/>
    </row>
    <row r="209" spans="1:9" ht="11.25" customHeight="1">
      <c r="A209" s="94"/>
      <c r="B209" s="150"/>
      <c r="C209" s="150"/>
      <c r="D209" s="150"/>
      <c r="E209" s="150"/>
      <c r="F209" s="172"/>
      <c r="G209" s="172"/>
      <c r="H209" s="172"/>
      <c r="I209" s="172"/>
    </row>
    <row r="210" spans="1:9" ht="15">
      <c r="A210" s="94"/>
      <c r="B210" s="134" t="s">
        <v>344</v>
      </c>
      <c r="C210" s="134"/>
      <c r="D210" s="134"/>
      <c r="E210" s="134"/>
      <c r="F210" s="134"/>
      <c r="G210" s="134"/>
      <c r="H210" s="134"/>
      <c r="I210" s="134"/>
    </row>
    <row r="211" spans="1:9" ht="15">
      <c r="A211" s="94"/>
      <c r="B211" s="134"/>
      <c r="C211" s="134"/>
      <c r="D211" s="134"/>
      <c r="E211" s="267" t="s">
        <v>138</v>
      </c>
      <c r="F211" s="267"/>
      <c r="G211" s="267" t="s">
        <v>140</v>
      </c>
      <c r="H211" s="267"/>
      <c r="I211" s="267"/>
    </row>
    <row r="212" spans="1:9" ht="15">
      <c r="A212" s="94"/>
      <c r="B212" s="134"/>
      <c r="C212" s="134"/>
      <c r="D212" s="134"/>
      <c r="E212" s="267" t="s">
        <v>139</v>
      </c>
      <c r="F212" s="239"/>
      <c r="G212" s="267" t="s">
        <v>141</v>
      </c>
      <c r="H212" s="267"/>
      <c r="I212" s="267" t="s">
        <v>53</v>
      </c>
    </row>
    <row r="213" spans="1:9" ht="15">
      <c r="A213" s="94"/>
      <c r="B213" s="134"/>
      <c r="C213" s="134"/>
      <c r="D213" s="134"/>
      <c r="E213" s="267" t="s">
        <v>102</v>
      </c>
      <c r="F213" s="239"/>
      <c r="G213" s="267" t="s">
        <v>102</v>
      </c>
      <c r="H213" s="267"/>
      <c r="I213" s="267" t="s">
        <v>102</v>
      </c>
    </row>
    <row r="214" spans="1:9" ht="15">
      <c r="A214" s="94"/>
      <c r="B214" s="94" t="s">
        <v>147</v>
      </c>
      <c r="C214" s="134"/>
      <c r="D214" s="150"/>
      <c r="E214" s="150"/>
      <c r="F214" s="150"/>
      <c r="G214" s="150"/>
      <c r="H214" s="150"/>
      <c r="I214" s="150"/>
    </row>
    <row r="215" spans="1:9" ht="15">
      <c r="A215" s="94"/>
      <c r="B215" s="94" t="s">
        <v>142</v>
      </c>
      <c r="C215" s="134"/>
      <c r="D215" s="150"/>
      <c r="E215" s="150"/>
      <c r="F215" s="150"/>
      <c r="G215" s="150"/>
      <c r="H215" s="150"/>
      <c r="I215" s="150"/>
    </row>
    <row r="216" spans="1:9" ht="15">
      <c r="A216" s="94"/>
      <c r="B216" s="3" t="s">
        <v>292</v>
      </c>
      <c r="C216" s="134"/>
      <c r="D216" s="150"/>
      <c r="E216" s="165">
        <v>0</v>
      </c>
      <c r="F216" s="165"/>
      <c r="G216" s="165">
        <v>360</v>
      </c>
      <c r="H216" s="165"/>
      <c r="I216" s="165">
        <f>G216+E216</f>
        <v>360</v>
      </c>
    </row>
    <row r="217" spans="1:9" ht="15">
      <c r="A217" s="94"/>
      <c r="B217" s="3" t="s">
        <v>164</v>
      </c>
      <c r="C217" s="134"/>
      <c r="D217" s="150"/>
      <c r="E217" s="165">
        <v>0</v>
      </c>
      <c r="F217" s="165"/>
      <c r="G217" s="165">
        <v>1230</v>
      </c>
      <c r="H217" s="165"/>
      <c r="I217" s="165">
        <f>G217+E217</f>
        <v>1230</v>
      </c>
    </row>
    <row r="218" spans="1:9" ht="15">
      <c r="A218" s="94"/>
      <c r="B218" s="134" t="s">
        <v>143</v>
      </c>
      <c r="C218" s="134"/>
      <c r="D218" s="150"/>
      <c r="E218" s="165">
        <v>69233</v>
      </c>
      <c r="F218" s="165"/>
      <c r="G218" s="165"/>
      <c r="H218" s="165"/>
      <c r="I218" s="165">
        <f>G218+E218</f>
        <v>69233</v>
      </c>
    </row>
    <row r="219" spans="1:9" ht="15">
      <c r="A219" s="94"/>
      <c r="B219" s="134" t="s">
        <v>165</v>
      </c>
      <c r="C219" s="134"/>
      <c r="D219" s="150"/>
      <c r="E219" s="165">
        <v>0</v>
      </c>
      <c r="F219" s="165"/>
      <c r="G219" s="165"/>
      <c r="H219" s="165"/>
      <c r="I219" s="165">
        <f>G219+E219</f>
        <v>0</v>
      </c>
    </row>
    <row r="220" spans="1:9" ht="15">
      <c r="A220" s="94"/>
      <c r="B220" s="134" t="s">
        <v>144</v>
      </c>
      <c r="C220" s="134"/>
      <c r="D220" s="150"/>
      <c r="E220" s="186">
        <v>38122</v>
      </c>
      <c r="F220" s="165"/>
      <c r="G220" s="186"/>
      <c r="H220" s="165"/>
      <c r="I220" s="186">
        <f>G220+E220</f>
        <v>38122</v>
      </c>
    </row>
    <row r="221" spans="1:13" ht="15">
      <c r="A221" s="94"/>
      <c r="B221" s="134"/>
      <c r="C221" s="134"/>
      <c r="D221" s="150"/>
      <c r="E221" s="165">
        <f>SUM(E216:E220)</f>
        <v>107355</v>
      </c>
      <c r="F221" s="165"/>
      <c r="G221" s="165">
        <f>SUM(G216:G220)</f>
        <v>1590</v>
      </c>
      <c r="H221" s="165"/>
      <c r="I221" s="165">
        <f>SUM(I216:I220)</f>
        <v>108945</v>
      </c>
      <c r="J221" s="58">
        <f>I221-'[1]BS'!C45</f>
        <v>1006</v>
      </c>
      <c r="M221" s="29"/>
    </row>
    <row r="222" spans="1:9" ht="11.25" customHeight="1">
      <c r="A222" s="94"/>
      <c r="B222" s="150"/>
      <c r="C222" s="150"/>
      <c r="D222" s="150"/>
      <c r="E222" s="150"/>
      <c r="F222" s="172"/>
      <c r="G222" s="172"/>
      <c r="H222" s="172"/>
      <c r="I222" s="172"/>
    </row>
    <row r="223" spans="1:9" ht="15">
      <c r="A223" s="94"/>
      <c r="B223" s="94" t="s">
        <v>146</v>
      </c>
      <c r="C223" s="134"/>
      <c r="D223" s="150"/>
      <c r="E223" s="165"/>
      <c r="F223" s="165"/>
      <c r="G223" s="165"/>
      <c r="H223" s="165"/>
      <c r="I223" s="165"/>
    </row>
    <row r="224" spans="1:9" ht="15">
      <c r="A224" s="94"/>
      <c r="B224" s="94" t="s">
        <v>145</v>
      </c>
      <c r="C224" s="134"/>
      <c r="D224" s="150"/>
      <c r="E224" s="165"/>
      <c r="F224" s="165"/>
      <c r="G224" s="165"/>
      <c r="H224" s="165"/>
      <c r="I224" s="165"/>
    </row>
    <row r="225" spans="1:9" ht="15">
      <c r="A225" s="94"/>
      <c r="B225" s="3" t="s">
        <v>148</v>
      </c>
      <c r="C225" s="134"/>
      <c r="D225" s="150"/>
      <c r="E225" s="165"/>
      <c r="F225" s="165"/>
      <c r="G225" s="165"/>
      <c r="H225" s="165"/>
      <c r="I225" s="165"/>
    </row>
    <row r="226" spans="1:9" ht="15">
      <c r="A226" s="94"/>
      <c r="B226" s="3" t="s">
        <v>149</v>
      </c>
      <c r="C226" s="134"/>
      <c r="D226" s="150"/>
      <c r="E226" s="186">
        <v>9494</v>
      </c>
      <c r="F226" s="165"/>
      <c r="G226" s="186"/>
      <c r="H226" s="165"/>
      <c r="I226" s="165">
        <f>G226+E226</f>
        <v>9494</v>
      </c>
    </row>
    <row r="227" spans="1:10" ht="15.75" thickBot="1">
      <c r="A227" s="94"/>
      <c r="B227" s="134"/>
      <c r="C227" s="134"/>
      <c r="D227" s="150"/>
      <c r="E227" s="183">
        <f>SUM(E221:E226)</f>
        <v>116849</v>
      </c>
      <c r="F227" s="165"/>
      <c r="G227" s="183">
        <f>SUM(G221:G226)</f>
        <v>1590</v>
      </c>
      <c r="H227" s="165"/>
      <c r="I227" s="183">
        <f>SUM(I221:I226)</f>
        <v>118439</v>
      </c>
      <c r="J227" s="29">
        <f>I227-'[1]BS'!C39-'[1]BS'!C45</f>
        <v>-2098</v>
      </c>
    </row>
    <row r="228" spans="1:9" ht="15.75" thickTop="1">
      <c r="A228" s="94"/>
      <c r="B228" s="134"/>
      <c r="C228" s="134"/>
      <c r="D228" s="150"/>
      <c r="E228" s="150"/>
      <c r="F228" s="165"/>
      <c r="G228" s="150"/>
      <c r="H228" s="165"/>
      <c r="I228" s="150"/>
    </row>
    <row r="229" spans="1:9" ht="15">
      <c r="A229" s="94" t="s">
        <v>158</v>
      </c>
      <c r="B229" s="94" t="s">
        <v>150</v>
      </c>
      <c r="C229" s="134"/>
      <c r="D229" s="150"/>
      <c r="E229" s="150"/>
      <c r="F229" s="165"/>
      <c r="G229" s="150"/>
      <c r="H229" s="150"/>
      <c r="I229" s="150"/>
    </row>
    <row r="230" spans="1:9" ht="15">
      <c r="A230" s="94"/>
      <c r="B230" s="94"/>
      <c r="C230" s="134"/>
      <c r="D230" s="134"/>
      <c r="E230" s="134"/>
      <c r="F230" s="81"/>
      <c r="G230" s="134"/>
      <c r="H230" s="134"/>
      <c r="I230" s="134"/>
    </row>
    <row r="231" spans="1:9" ht="30.75" customHeight="1">
      <c r="A231" s="94"/>
      <c r="B231" s="316" t="s">
        <v>345</v>
      </c>
      <c r="C231" s="316"/>
      <c r="D231" s="316"/>
      <c r="E231" s="316"/>
      <c r="F231" s="316"/>
      <c r="G231" s="316"/>
      <c r="H231" s="316"/>
      <c r="I231" s="316"/>
    </row>
    <row r="232" spans="1:9" ht="15">
      <c r="A232" s="94"/>
      <c r="B232" s="134"/>
      <c r="C232" s="134"/>
      <c r="D232" s="134"/>
      <c r="E232" s="134"/>
      <c r="F232" s="134"/>
      <c r="G232" s="134"/>
      <c r="H232" s="134"/>
      <c r="I232" s="134"/>
    </row>
    <row r="233" spans="1:9" ht="15">
      <c r="A233" s="94" t="s">
        <v>159</v>
      </c>
      <c r="B233" s="94" t="s">
        <v>151</v>
      </c>
      <c r="C233" s="134"/>
      <c r="D233" s="134"/>
      <c r="E233" s="134"/>
      <c r="F233" s="134"/>
      <c r="G233" s="134"/>
      <c r="H233" s="134"/>
      <c r="I233" s="134"/>
    </row>
    <row r="234" spans="1:9" ht="15">
      <c r="A234" s="94"/>
      <c r="B234" s="94"/>
      <c r="C234" s="134"/>
      <c r="D234" s="134"/>
      <c r="E234" s="134"/>
      <c r="F234" s="134"/>
      <c r="G234" s="134"/>
      <c r="H234" s="134"/>
      <c r="I234" s="134"/>
    </row>
    <row r="235" spans="1:9" ht="15">
      <c r="A235" s="94"/>
      <c r="B235" s="134" t="s">
        <v>347</v>
      </c>
      <c r="C235" s="134"/>
      <c r="D235" s="134"/>
      <c r="E235" s="134"/>
      <c r="F235" s="134"/>
      <c r="G235" s="134"/>
      <c r="H235" s="134"/>
      <c r="I235" s="134"/>
    </row>
    <row r="236" spans="1:9" ht="15">
      <c r="A236" s="94"/>
      <c r="B236" s="134"/>
      <c r="C236" s="134"/>
      <c r="D236" s="134"/>
      <c r="E236" s="134"/>
      <c r="F236" s="134"/>
      <c r="G236" s="134"/>
      <c r="H236" s="134"/>
      <c r="I236" s="134"/>
    </row>
    <row r="237" spans="1:9" ht="15">
      <c r="A237" s="94" t="s">
        <v>160</v>
      </c>
      <c r="B237" s="94" t="s">
        <v>152</v>
      </c>
      <c r="C237" s="134"/>
      <c r="D237" s="134"/>
      <c r="E237" s="134"/>
      <c r="F237" s="134"/>
      <c r="G237" s="134"/>
      <c r="H237" s="134"/>
      <c r="I237" s="134"/>
    </row>
    <row r="238" spans="1:9" ht="15">
      <c r="A238" s="94"/>
      <c r="B238" s="94"/>
      <c r="C238" s="134"/>
      <c r="D238" s="134"/>
      <c r="E238" s="134"/>
      <c r="F238" s="134"/>
      <c r="G238" s="134"/>
      <c r="H238" s="134"/>
      <c r="I238" s="134"/>
    </row>
    <row r="239" spans="1:9" s="46" customFormat="1" ht="15">
      <c r="A239" s="68"/>
      <c r="B239" s="150" t="s">
        <v>359</v>
      </c>
      <c r="C239" s="150"/>
      <c r="D239" s="150"/>
      <c r="E239" s="150"/>
      <c r="F239" s="150"/>
      <c r="G239" s="150"/>
      <c r="H239" s="150"/>
      <c r="I239" s="150"/>
    </row>
    <row r="240" spans="1:9" ht="15">
      <c r="A240" s="94"/>
      <c r="B240" s="134"/>
      <c r="C240" s="134"/>
      <c r="D240" s="134"/>
      <c r="E240" s="134"/>
      <c r="F240" s="134"/>
      <c r="G240" s="134"/>
      <c r="H240" s="134"/>
      <c r="I240" s="134"/>
    </row>
    <row r="241" spans="1:9" ht="15">
      <c r="A241" s="266" t="s">
        <v>161</v>
      </c>
      <c r="B241" s="94" t="s">
        <v>153</v>
      </c>
      <c r="C241" s="134"/>
      <c r="D241" s="134"/>
      <c r="E241" s="134"/>
      <c r="F241" s="134"/>
      <c r="G241" s="134"/>
      <c r="H241" s="134"/>
      <c r="I241" s="134"/>
    </row>
    <row r="242" spans="1:9" ht="15">
      <c r="A242" s="94"/>
      <c r="B242" s="94"/>
      <c r="C242" s="134"/>
      <c r="D242" s="134"/>
      <c r="E242" s="134"/>
      <c r="F242" s="134"/>
      <c r="G242" s="134"/>
      <c r="H242" s="134"/>
      <c r="I242" s="134"/>
    </row>
    <row r="243" spans="1:9" ht="15">
      <c r="A243" s="94"/>
      <c r="B243" s="94" t="s">
        <v>210</v>
      </c>
      <c r="C243" s="134"/>
      <c r="D243" s="134"/>
      <c r="E243" s="134"/>
      <c r="F243" s="134"/>
      <c r="G243" s="134"/>
      <c r="H243" s="134"/>
      <c r="I243" s="134"/>
    </row>
    <row r="244" spans="1:9" ht="51.75" customHeight="1">
      <c r="A244" s="94"/>
      <c r="B244" s="317" t="s">
        <v>358</v>
      </c>
      <c r="C244" s="318"/>
      <c r="D244" s="318"/>
      <c r="E244" s="318"/>
      <c r="F244" s="318"/>
      <c r="G244" s="318"/>
      <c r="H244" s="318"/>
      <c r="I244" s="318"/>
    </row>
    <row r="245" spans="1:9" ht="15">
      <c r="A245" s="94"/>
      <c r="B245" s="124"/>
      <c r="C245" s="218"/>
      <c r="D245" s="218"/>
      <c r="E245" s="218"/>
      <c r="F245" s="218"/>
      <c r="G245" s="218"/>
      <c r="H245" s="218"/>
      <c r="I245" s="218"/>
    </row>
    <row r="246" spans="1:9" ht="15">
      <c r="A246" s="94"/>
      <c r="B246" s="173"/>
      <c r="C246" s="173"/>
      <c r="D246" s="173"/>
      <c r="E246" s="173"/>
      <c r="F246" s="319" t="str">
        <f>F153</f>
        <v>Individual Quarter</v>
      </c>
      <c r="G246" s="319"/>
      <c r="H246" s="319" t="str">
        <f>H153</f>
        <v>Cumulative Quarter</v>
      </c>
      <c r="I246" s="319"/>
    </row>
    <row r="247" spans="1:9" ht="15">
      <c r="A247" s="94"/>
      <c r="B247" s="134"/>
      <c r="C247" s="134"/>
      <c r="D247" s="134"/>
      <c r="E247" s="134"/>
      <c r="F247" s="320" t="str">
        <f>F154</f>
        <v>3 months ended</v>
      </c>
      <c r="G247" s="320"/>
      <c r="H247" s="320" t="str">
        <f>H154</f>
        <v>3 months ended</v>
      </c>
      <c r="I247" s="320"/>
    </row>
    <row r="248" spans="1:9" ht="28.5">
      <c r="A248" s="94"/>
      <c r="B248" s="134"/>
      <c r="C248" s="134"/>
      <c r="D248" s="134"/>
      <c r="E248" s="134"/>
      <c r="F248" s="270" t="str">
        <f>F155</f>
        <v>30.9.11
RM’000</v>
      </c>
      <c r="G248" s="270" t="str">
        <f>G155</f>
        <v>30.9.10
RM’000</v>
      </c>
      <c r="H248" s="270" t="str">
        <f>H155</f>
        <v>30.9.11
RM’000</v>
      </c>
      <c r="I248" s="270" t="str">
        <f>I155</f>
        <v>30.9.10
RM’000</v>
      </c>
    </row>
    <row r="249" spans="1:9" ht="15">
      <c r="A249" s="94"/>
      <c r="B249" s="103" t="s">
        <v>282</v>
      </c>
      <c r="C249" s="3"/>
      <c r="D249" s="3"/>
      <c r="E249" s="3"/>
      <c r="F249" s="174"/>
      <c r="G249" s="174"/>
      <c r="H249" s="174"/>
      <c r="I249" s="174"/>
    </row>
    <row r="250" spans="1:9" ht="15.75" thickBot="1">
      <c r="A250" s="94"/>
      <c r="B250" s="103" t="s">
        <v>267</v>
      </c>
      <c r="C250" s="3"/>
      <c r="D250" s="3"/>
      <c r="E250" s="3"/>
      <c r="F250" s="187">
        <f>'IS'!B65</f>
        <v>16802</v>
      </c>
      <c r="G250" s="187">
        <f>'IS'!D65</f>
        <v>6551</v>
      </c>
      <c r="H250" s="187">
        <f>'IS'!F65</f>
        <v>16802</v>
      </c>
      <c r="I250" s="187">
        <f>'IS'!H65</f>
        <v>6551</v>
      </c>
    </row>
    <row r="251" spans="1:9" ht="15.75" thickTop="1">
      <c r="A251" s="94"/>
      <c r="B251" s="134"/>
      <c r="C251" s="134"/>
      <c r="D251" s="134"/>
      <c r="E251" s="134"/>
      <c r="F251" s="272"/>
      <c r="G251" s="272"/>
      <c r="H251" s="272"/>
      <c r="I251" s="272"/>
    </row>
    <row r="252" spans="1:9" ht="15">
      <c r="A252" s="94"/>
      <c r="B252" s="103" t="s">
        <v>211</v>
      </c>
      <c r="C252" s="134"/>
      <c r="D252" s="134"/>
      <c r="E252" s="134"/>
      <c r="F252" s="272"/>
      <c r="G252" s="272"/>
      <c r="H252" s="272"/>
      <c r="I252" s="272"/>
    </row>
    <row r="253" spans="1:9" ht="15.75" thickBot="1">
      <c r="A253" s="94"/>
      <c r="B253" s="103" t="s">
        <v>244</v>
      </c>
      <c r="C253" s="137"/>
      <c r="D253" s="137"/>
      <c r="E253" s="137"/>
      <c r="F253" s="145">
        <v>272533</v>
      </c>
      <c r="G253" s="145">
        <v>272533</v>
      </c>
      <c r="H253" s="145">
        <v>272533</v>
      </c>
      <c r="I253" s="145">
        <v>272533</v>
      </c>
    </row>
    <row r="254" spans="1:9" ht="15.75" thickTop="1">
      <c r="A254" s="94"/>
      <c r="B254" s="137"/>
      <c r="C254" s="137"/>
      <c r="D254" s="137"/>
      <c r="E254" s="137"/>
      <c r="F254" s="188"/>
      <c r="G254" s="188"/>
      <c r="H254" s="188"/>
      <c r="I254" s="188"/>
    </row>
    <row r="255" spans="1:9" ht="15.75" thickBot="1">
      <c r="A255" s="94"/>
      <c r="B255" s="103" t="s">
        <v>212</v>
      </c>
      <c r="C255" s="137"/>
      <c r="D255" s="137"/>
      <c r="E255" s="137"/>
      <c r="F255" s="189">
        <f>F250/F253*100</f>
        <v>6.165124957344615</v>
      </c>
      <c r="G255" s="189">
        <f>G250/G253*100</f>
        <v>2.4037456014500997</v>
      </c>
      <c r="H255" s="189">
        <f>H250/H253*100</f>
        <v>6.165124957344615</v>
      </c>
      <c r="I255" s="189">
        <f>I250/I253*100</f>
        <v>2.4037456014500997</v>
      </c>
    </row>
    <row r="256" spans="1:9" ht="15.75" thickTop="1">
      <c r="A256" s="94"/>
      <c r="B256" s="137"/>
      <c r="C256" s="137"/>
      <c r="D256" s="137"/>
      <c r="E256" s="137"/>
      <c r="F256" s="188"/>
      <c r="G256" s="188"/>
      <c r="H256" s="188"/>
      <c r="I256" s="188"/>
    </row>
    <row r="257" spans="1:9" ht="31.5" customHeight="1">
      <c r="A257" s="94"/>
      <c r="B257" s="315" t="s">
        <v>348</v>
      </c>
      <c r="C257" s="315"/>
      <c r="D257" s="315"/>
      <c r="E257" s="315"/>
      <c r="F257" s="315"/>
      <c r="G257" s="315"/>
      <c r="H257" s="315"/>
      <c r="I257" s="315"/>
    </row>
    <row r="258" spans="1:9" ht="15">
      <c r="A258" s="94"/>
      <c r="B258" s="137"/>
      <c r="C258" s="137"/>
      <c r="D258" s="137"/>
      <c r="E258" s="137"/>
      <c r="F258" s="137"/>
      <c r="G258" s="137"/>
      <c r="H258" s="137"/>
      <c r="I258" s="137"/>
    </row>
    <row r="259" spans="1:9" ht="15">
      <c r="A259" s="266" t="s">
        <v>270</v>
      </c>
      <c r="B259" s="94" t="s">
        <v>350</v>
      </c>
      <c r="C259" s="137"/>
      <c r="D259" s="137"/>
      <c r="E259" s="137"/>
      <c r="F259" s="137"/>
      <c r="G259" s="137"/>
      <c r="H259" s="137"/>
      <c r="I259" s="137"/>
    </row>
    <row r="260" spans="1:9" ht="15">
      <c r="A260" s="94"/>
      <c r="B260" s="137"/>
      <c r="C260" s="137"/>
      <c r="D260" s="137"/>
      <c r="E260" s="137"/>
      <c r="F260" s="267" t="s">
        <v>289</v>
      </c>
      <c r="G260" s="137"/>
      <c r="H260" s="267" t="s">
        <v>289</v>
      </c>
      <c r="I260" s="137"/>
    </row>
    <row r="261" spans="1:9" ht="15">
      <c r="A261" s="94"/>
      <c r="B261" s="134"/>
      <c r="C261" s="134"/>
      <c r="D261" s="134"/>
      <c r="E261" s="134"/>
      <c r="F261" s="226" t="s">
        <v>296</v>
      </c>
      <c r="G261" s="134"/>
      <c r="H261" s="226" t="s">
        <v>290</v>
      </c>
      <c r="I261" s="134"/>
    </row>
    <row r="262" spans="1:9" ht="15">
      <c r="A262" s="94"/>
      <c r="B262" s="134"/>
      <c r="C262" s="134"/>
      <c r="D262" s="134"/>
      <c r="E262" s="134"/>
      <c r="F262" s="267" t="s">
        <v>18</v>
      </c>
      <c r="G262" s="134"/>
      <c r="H262" s="267" t="s">
        <v>18</v>
      </c>
      <c r="I262" s="134"/>
    </row>
    <row r="263" spans="1:9" ht="15">
      <c r="A263" s="94"/>
      <c r="B263" s="134" t="s">
        <v>351</v>
      </c>
      <c r="C263" s="134"/>
      <c r="D263" s="134"/>
      <c r="E263" s="134"/>
      <c r="F263" s="134"/>
      <c r="G263" s="134"/>
      <c r="H263" s="134"/>
      <c r="I263" s="134"/>
    </row>
    <row r="264" spans="1:9" ht="15">
      <c r="A264" s="94"/>
      <c r="B264" s="134" t="s">
        <v>271</v>
      </c>
      <c r="C264" s="134"/>
      <c r="D264" s="134"/>
      <c r="E264" s="134"/>
      <c r="F264" s="150"/>
      <c r="G264" s="134"/>
      <c r="H264" s="134"/>
      <c r="I264" s="134"/>
    </row>
    <row r="265" spans="1:9" ht="15">
      <c r="A265" s="94"/>
      <c r="B265" s="170" t="s">
        <v>272</v>
      </c>
      <c r="C265" s="134"/>
      <c r="D265" s="134"/>
      <c r="E265" s="134"/>
      <c r="F265" s="172">
        <v>244743</v>
      </c>
      <c r="G265" s="134"/>
      <c r="H265" s="157">
        <f>194950</f>
        <v>194950</v>
      </c>
      <c r="I265" s="134"/>
    </row>
    <row r="266" spans="1:9" ht="15">
      <c r="A266" s="94"/>
      <c r="B266" s="170" t="s">
        <v>273</v>
      </c>
      <c r="C266" s="134"/>
      <c r="D266" s="134"/>
      <c r="E266" s="134"/>
      <c r="F266" s="186">
        <f>-10926</f>
        <v>-10926</v>
      </c>
      <c r="G266" s="134"/>
      <c r="H266" s="154">
        <v>15515</v>
      </c>
      <c r="I266" s="134"/>
    </row>
    <row r="267" spans="1:9" ht="7.5" customHeight="1">
      <c r="A267" s="94"/>
      <c r="B267" s="170"/>
      <c r="C267" s="134"/>
      <c r="D267" s="134"/>
      <c r="E267" s="134"/>
      <c r="F267" s="165"/>
      <c r="G267" s="134"/>
      <c r="H267" s="157"/>
      <c r="I267" s="134"/>
    </row>
    <row r="268" spans="1:9" ht="15">
      <c r="A268" s="94"/>
      <c r="B268" s="170"/>
      <c r="C268" s="134"/>
      <c r="D268" s="134"/>
      <c r="E268" s="134"/>
      <c r="F268" s="165">
        <f>SUM(F265:F266)</f>
        <v>233817</v>
      </c>
      <c r="G268" s="134"/>
      <c r="H268" s="81">
        <f>SUM(H265:H266)</f>
        <v>210465</v>
      </c>
      <c r="I268" s="134"/>
    </row>
    <row r="269" spans="1:9" ht="15">
      <c r="A269" s="94"/>
      <c r="B269" s="170" t="s">
        <v>349</v>
      </c>
      <c r="C269" s="134"/>
      <c r="D269" s="134"/>
      <c r="E269" s="134"/>
      <c r="F269" s="186">
        <f>-39511</f>
        <v>-39511</v>
      </c>
      <c r="G269" s="224"/>
      <c r="H269" s="154">
        <f>-32961</f>
        <v>-32961</v>
      </c>
      <c r="I269" s="134"/>
    </row>
    <row r="270" spans="1:9" ht="7.5" customHeight="1">
      <c r="A270" s="94"/>
      <c r="B270" s="170"/>
      <c r="C270" s="134"/>
      <c r="D270" s="134"/>
      <c r="E270" s="134"/>
      <c r="F270" s="273"/>
      <c r="G270" s="224"/>
      <c r="H270" s="225"/>
      <c r="I270" s="134"/>
    </row>
    <row r="271" spans="1:9" ht="15.75" thickBot="1">
      <c r="A271" s="94"/>
      <c r="B271" s="134" t="s">
        <v>352</v>
      </c>
      <c r="C271" s="134"/>
      <c r="D271" s="134"/>
      <c r="E271" s="134"/>
      <c r="F271" s="274">
        <f>SUM(F268:F269)</f>
        <v>194306</v>
      </c>
      <c r="G271" s="134"/>
      <c r="H271" s="223">
        <f>SUM(H268:H269)</f>
        <v>177504</v>
      </c>
      <c r="I271" s="134"/>
    </row>
    <row r="272" spans="1:9" ht="15.75" thickTop="1">
      <c r="A272" s="94"/>
      <c r="B272" s="134"/>
      <c r="C272" s="134"/>
      <c r="D272" s="134"/>
      <c r="E272" s="134"/>
      <c r="F272" s="134"/>
      <c r="G272" s="134"/>
      <c r="H272" s="134"/>
      <c r="I272" s="134"/>
    </row>
  </sheetData>
  <sheetProtection/>
  <mergeCells count="47">
    <mergeCell ref="B64:I64"/>
    <mergeCell ref="B40:I40"/>
    <mergeCell ref="V161:AC161"/>
    <mergeCell ref="B31:I31"/>
    <mergeCell ref="B161:I161"/>
    <mergeCell ref="B170:I170"/>
    <mergeCell ref="B44:I44"/>
    <mergeCell ref="B48:I48"/>
    <mergeCell ref="B52:I52"/>
    <mergeCell ref="B56:I56"/>
    <mergeCell ref="B125:I125"/>
    <mergeCell ref="B137:I137"/>
    <mergeCell ref="E67:I67"/>
    <mergeCell ref="F108:H108"/>
    <mergeCell ref="F109:G109"/>
    <mergeCell ref="B60:I60"/>
    <mergeCell ref="A2:I2"/>
    <mergeCell ref="A3:I3"/>
    <mergeCell ref="B10:I10"/>
    <mergeCell ref="B12:I12"/>
    <mergeCell ref="B36:I36"/>
    <mergeCell ref="F247:G247"/>
    <mergeCell ref="B174:I174"/>
    <mergeCell ref="F184:G184"/>
    <mergeCell ref="H184:I184"/>
    <mergeCell ref="F185:G185"/>
    <mergeCell ref="H109:I109"/>
    <mergeCell ref="F110:G110"/>
    <mergeCell ref="H110:I110"/>
    <mergeCell ref="B129:I129"/>
    <mergeCell ref="B133:I133"/>
    <mergeCell ref="B206:I206"/>
    <mergeCell ref="B141:I141"/>
    <mergeCell ref="F153:G153"/>
    <mergeCell ref="H153:I153"/>
    <mergeCell ref="F154:G154"/>
    <mergeCell ref="H154:I154"/>
    <mergeCell ref="B257:I257"/>
    <mergeCell ref="B231:I231"/>
    <mergeCell ref="B244:I244"/>
    <mergeCell ref="F246:G246"/>
    <mergeCell ref="H246:I246"/>
    <mergeCell ref="H185:I185"/>
    <mergeCell ref="H247:I247"/>
    <mergeCell ref="B192:I192"/>
    <mergeCell ref="B196:I198"/>
    <mergeCell ref="B202:I202"/>
  </mergeCells>
  <printOptions/>
  <pageMargins left="0.8" right="0.23" top="0.52" bottom="0.57" header="0.3" footer="0.19"/>
  <pageSetup firstPageNumber="6" useFirstPageNumber="1" horizontalDpi="600" verticalDpi="600" orientation="portrait" paperSize="9" scale="74" r:id="rId4"/>
  <headerFooter differentFirst="1">
    <oddHeader>&amp;C&amp;P</oddHeader>
    <oddFooter>&amp;C&amp;P</oddFooter>
    <firstFooter>&amp;C&amp;P</firstFooter>
  </headerFooter>
  <rowBreaks count="6" manualBreakCount="6">
    <brk id="36" max="8" man="1"/>
    <brk id="61" max="8" man="1"/>
    <brk id="122" max="8" man="1"/>
    <brk id="151" max="8" man="1"/>
    <brk id="181" max="8" man="1"/>
    <brk id="240" max="8" man="1"/>
  </rowBreaks>
  <legacyDrawing r:id="rId3"/>
  <oleObjects>
    <oleObject progId="Word.Picture.8" shapeId="981900" r:id="rId1"/>
    <oleObject progId="Word.Picture.8" shapeId="2455092" r:id="rId2"/>
  </oleObjects>
</worksheet>
</file>

<file path=xl/worksheets/sheet6.xml><?xml version="1.0" encoding="utf-8"?>
<worksheet xmlns="http://schemas.openxmlformats.org/spreadsheetml/2006/main" xmlns:r="http://schemas.openxmlformats.org/officeDocument/2006/relationships">
  <sheetPr>
    <tabColor rgb="FF00B0F0"/>
  </sheetPr>
  <dimension ref="A1:V59"/>
  <sheetViews>
    <sheetView tabSelected="1" zoomScale="130" zoomScaleNormal="130" zoomScaleSheetLayoutView="100" workbookViewId="0" topLeftCell="A1">
      <selection activeCell="A45" sqref="A45"/>
    </sheetView>
  </sheetViews>
  <sheetFormatPr defaultColWidth="9.00390625" defaultRowHeight="15.75"/>
  <cols>
    <col min="1" max="1" width="33.25390625" style="0" bestFit="1" customWidth="1"/>
    <col min="2" max="2" width="23.625" style="0" customWidth="1"/>
    <col min="3" max="3" width="12.50390625" style="46" customWidth="1"/>
    <col min="4" max="4" width="2.50390625" style="0" customWidth="1"/>
    <col min="5" max="5" width="12.50390625" style="0" customWidth="1"/>
    <col min="7" max="7" width="0" style="0" hidden="1" customWidth="1"/>
    <col min="8" max="8" width="11.125" style="0" hidden="1" customWidth="1"/>
    <col min="9" max="9" width="12.625" style="0" hidden="1" customWidth="1"/>
    <col min="10" max="10" width="13.75390625" style="0" hidden="1" customWidth="1"/>
    <col min="11" max="11" width="10.125" style="0" hidden="1" customWidth="1"/>
    <col min="12" max="12" width="7.25390625" style="0" hidden="1" customWidth="1"/>
    <col min="13" max="13" width="15.50390625" style="0" hidden="1" customWidth="1"/>
    <col min="14" max="14" width="6.375" style="0" hidden="1" customWidth="1"/>
    <col min="15" max="15" width="8.75390625" style="0" hidden="1" customWidth="1"/>
    <col min="16" max="16" width="10.125" style="0" hidden="1" customWidth="1"/>
    <col min="17" max="17" width="8.375" style="0" hidden="1" customWidth="1"/>
    <col min="18" max="18" width="6.375" style="0" hidden="1" customWidth="1"/>
    <col min="19" max="19" width="8.875" style="0" hidden="1" customWidth="1"/>
    <col min="20" max="20" width="6.875" style="0" hidden="1" customWidth="1"/>
    <col min="21" max="21" width="0" style="0" hidden="1" customWidth="1"/>
  </cols>
  <sheetData>
    <row r="1" spans="1:4" s="77" customFormat="1" ht="19.5" customHeight="1">
      <c r="A1" s="6"/>
      <c r="B1" s="6"/>
      <c r="C1" s="61"/>
      <c r="D1" s="6"/>
    </row>
    <row r="2" spans="1:8" s="77" customFormat="1" ht="15.75" customHeight="1">
      <c r="A2" s="297" t="s">
        <v>236</v>
      </c>
      <c r="B2" s="297"/>
      <c r="C2" s="297"/>
      <c r="D2" s="297"/>
      <c r="E2" s="297"/>
      <c r="F2" s="23"/>
      <c r="G2" s="23"/>
      <c r="H2" s="23"/>
    </row>
    <row r="3" spans="1:8" s="77" customFormat="1" ht="15.75" customHeight="1">
      <c r="A3" s="297"/>
      <c r="B3" s="297"/>
      <c r="C3" s="297"/>
      <c r="D3" s="297"/>
      <c r="E3" s="297"/>
      <c r="F3" s="23"/>
      <c r="G3" s="23"/>
      <c r="H3" s="23"/>
    </row>
    <row r="4" spans="1:8" s="77" customFormat="1" ht="20.25">
      <c r="A4" s="298" t="s">
        <v>43</v>
      </c>
      <c r="B4" s="298"/>
      <c r="C4" s="298"/>
      <c r="D4" s="298"/>
      <c r="E4" s="298"/>
      <c r="F4" s="8"/>
      <c r="G4" s="8"/>
      <c r="H4" s="8"/>
    </row>
    <row r="5" spans="4:6" ht="15">
      <c r="D5" s="16"/>
      <c r="E5" s="16"/>
      <c r="F5" s="1"/>
    </row>
    <row r="6" spans="1:6" s="77" customFormat="1" ht="15">
      <c r="A6" s="310" t="s">
        <v>260</v>
      </c>
      <c r="B6" s="310"/>
      <c r="C6" s="310"/>
      <c r="D6" s="98"/>
      <c r="E6" s="98"/>
      <c r="F6" s="1"/>
    </row>
    <row r="7" spans="1:6" ht="15">
      <c r="A7" s="310" t="str">
        <f>'IS'!A8</f>
        <v>FOR THE QUARTER ENDED  30 SEPTEMBER 2011 - UNAUDITED</v>
      </c>
      <c r="B7" s="310"/>
      <c r="C7" s="310"/>
      <c r="D7" s="310"/>
      <c r="E7" s="16"/>
      <c r="F7" s="1"/>
    </row>
    <row r="8" spans="1:6" s="119" customFormat="1" ht="15">
      <c r="A8" s="95"/>
      <c r="B8" s="95"/>
      <c r="C8" s="239"/>
      <c r="D8" s="91"/>
      <c r="E8" s="74"/>
      <c r="F8" s="118"/>
    </row>
    <row r="9" spans="1:10" s="119" customFormat="1" ht="15">
      <c r="A9" s="95"/>
      <c r="B9" s="95"/>
      <c r="C9" s="239" t="str">
        <f>'IS'!F13</f>
        <v>30.9.11</v>
      </c>
      <c r="D9" s="91"/>
      <c r="E9" s="74" t="str">
        <f>'IS'!H13</f>
        <v>30.9.10</v>
      </c>
      <c r="F9" s="118"/>
      <c r="H9" s="120"/>
      <c r="I9" s="120"/>
      <c r="J9" s="120"/>
    </row>
    <row r="10" spans="1:6" s="119" customFormat="1" ht="16.5" customHeight="1">
      <c r="A10" s="95"/>
      <c r="B10" s="95"/>
      <c r="C10" s="239" t="s">
        <v>18</v>
      </c>
      <c r="D10" s="94"/>
      <c r="E10" s="91" t="s">
        <v>18</v>
      </c>
      <c r="F10" s="118"/>
    </row>
    <row r="11" spans="1:13" ht="12.75" customHeight="1">
      <c r="A11" s="20" t="s">
        <v>62</v>
      </c>
      <c r="B11" s="16"/>
      <c r="C11" s="51"/>
      <c r="D11" s="31"/>
      <c r="E11" s="31"/>
      <c r="F11" s="1"/>
      <c r="M11" s="66" t="s">
        <v>179</v>
      </c>
    </row>
    <row r="12" spans="1:22" ht="15">
      <c r="A12" s="56" t="s">
        <v>63</v>
      </c>
      <c r="B12" s="16"/>
      <c r="C12" s="52">
        <f>'IS'!F32</f>
        <v>25811</v>
      </c>
      <c r="D12" s="33"/>
      <c r="E12" s="33">
        <f>'IS'!H32</f>
        <v>9394</v>
      </c>
      <c r="F12" s="1"/>
      <c r="J12" s="24" t="s">
        <v>177</v>
      </c>
      <c r="K12" s="24" t="s">
        <v>178</v>
      </c>
      <c r="L12" s="24" t="s">
        <v>192</v>
      </c>
      <c r="M12" s="24" t="s">
        <v>180</v>
      </c>
      <c r="N12" s="24" t="s">
        <v>181</v>
      </c>
      <c r="O12" s="24" t="s">
        <v>182</v>
      </c>
      <c r="P12" s="24" t="s">
        <v>183</v>
      </c>
      <c r="Q12" s="24" t="s">
        <v>184</v>
      </c>
      <c r="R12" s="24" t="s">
        <v>185</v>
      </c>
      <c r="S12" s="24" t="s">
        <v>174</v>
      </c>
      <c r="V12" s="24"/>
    </row>
    <row r="13" spans="1:6" ht="15">
      <c r="A13" s="16" t="s">
        <v>64</v>
      </c>
      <c r="B13" s="16"/>
      <c r="C13" s="52"/>
      <c r="D13" s="33"/>
      <c r="E13" s="33"/>
      <c r="F13" s="1"/>
    </row>
    <row r="14" spans="1:20" ht="15">
      <c r="A14" s="16" t="s">
        <v>65</v>
      </c>
      <c r="B14" s="16"/>
      <c r="C14" s="52">
        <v>4558</v>
      </c>
      <c r="D14" s="33"/>
      <c r="E14" s="33">
        <v>4335</v>
      </c>
      <c r="F14" s="1"/>
      <c r="J14" s="81">
        <v>105</v>
      </c>
      <c r="K14" s="81">
        <v>503</v>
      </c>
      <c r="L14" s="81">
        <v>16205</v>
      </c>
      <c r="M14" s="81">
        <v>-443</v>
      </c>
      <c r="N14" s="81">
        <v>-154</v>
      </c>
      <c r="O14" s="81"/>
      <c r="P14" s="81"/>
      <c r="Q14" s="81">
        <v>342</v>
      </c>
      <c r="R14" s="81"/>
      <c r="S14" s="81">
        <f>2049-755+87</f>
        <v>1381</v>
      </c>
      <c r="T14" s="86">
        <f>SUM(J14:S14)</f>
        <v>17939</v>
      </c>
    </row>
    <row r="15" spans="1:20" ht="15">
      <c r="A15" s="16" t="s">
        <v>66</v>
      </c>
      <c r="B15" s="16"/>
      <c r="C15" s="261">
        <v>493</v>
      </c>
      <c r="D15" s="33"/>
      <c r="E15" s="38">
        <v>478</v>
      </c>
      <c r="F15" s="1"/>
      <c r="J15" s="81"/>
      <c r="K15" s="81"/>
      <c r="L15" s="81"/>
      <c r="M15" s="81"/>
      <c r="N15" s="81"/>
      <c r="O15" s="81">
        <v>2896</v>
      </c>
      <c r="P15" s="81">
        <v>-507</v>
      </c>
      <c r="Q15" s="81"/>
      <c r="R15" s="81">
        <v>-258</v>
      </c>
      <c r="S15" s="81"/>
      <c r="T15" s="87">
        <f>SUM(J15:S15)</f>
        <v>2131</v>
      </c>
    </row>
    <row r="16" spans="1:20" ht="7.5" customHeight="1">
      <c r="A16" s="16"/>
      <c r="B16" s="16"/>
      <c r="C16" s="52"/>
      <c r="D16" s="33"/>
      <c r="E16" s="33"/>
      <c r="F16" s="1"/>
      <c r="J16" s="82"/>
      <c r="K16" s="82"/>
      <c r="L16" s="82"/>
      <c r="M16" s="82"/>
      <c r="N16" s="82"/>
      <c r="O16" s="82"/>
      <c r="P16" s="82"/>
      <c r="Q16" s="82"/>
      <c r="R16" s="82"/>
      <c r="S16" s="82"/>
      <c r="T16" s="82"/>
    </row>
    <row r="17" spans="1:20" ht="15">
      <c r="A17" s="16" t="s">
        <v>67</v>
      </c>
      <c r="B17" s="16"/>
      <c r="C17" s="52">
        <f>SUM(C12:C15)</f>
        <v>30862</v>
      </c>
      <c r="D17" s="33"/>
      <c r="E17" s="33">
        <f>SUM(E12:E15)</f>
        <v>14207</v>
      </c>
      <c r="F17" s="1"/>
      <c r="J17" s="88" t="s">
        <v>191</v>
      </c>
      <c r="K17" s="88" t="s">
        <v>191</v>
      </c>
      <c r="L17" s="88" t="s">
        <v>191</v>
      </c>
      <c r="M17" s="88" t="s">
        <v>191</v>
      </c>
      <c r="N17" s="88" t="s">
        <v>191</v>
      </c>
      <c r="O17" s="88" t="s">
        <v>191</v>
      </c>
      <c r="P17" s="88" t="s">
        <v>191</v>
      </c>
      <c r="Q17" s="88" t="s">
        <v>191</v>
      </c>
      <c r="R17" s="88" t="s">
        <v>191</v>
      </c>
      <c r="S17" s="82"/>
      <c r="T17" s="82"/>
    </row>
    <row r="18" spans="1:20" ht="7.5" customHeight="1">
      <c r="A18" s="16"/>
      <c r="B18" s="16"/>
      <c r="C18" s="52"/>
      <c r="D18" s="33"/>
      <c r="E18" s="33"/>
      <c r="F18" s="1"/>
      <c r="J18" s="82"/>
      <c r="K18" s="82"/>
      <c r="L18" s="82"/>
      <c r="M18" s="82"/>
      <c r="N18" s="82"/>
      <c r="O18" s="82"/>
      <c r="P18" s="82"/>
      <c r="Q18" s="82"/>
      <c r="R18" s="82"/>
      <c r="S18" s="82"/>
      <c r="T18" s="82"/>
    </row>
    <row r="19" spans="1:20" ht="15">
      <c r="A19" s="16" t="s">
        <v>68</v>
      </c>
      <c r="B19" s="16"/>
      <c r="C19" s="261">
        <f>-14955</f>
        <v>-14955</v>
      </c>
      <c r="D19" s="33"/>
      <c r="E19" s="220">
        <f>21833</f>
        <v>21833</v>
      </c>
      <c r="G19" s="1">
        <f>'BS'!E21+'BS'!E22-'BS'!C21-'BS'!C22+'BS'!C43-'BS'!E43</f>
        <v>-13987</v>
      </c>
      <c r="J19" s="82"/>
      <c r="K19" s="82"/>
      <c r="L19" s="82"/>
      <c r="M19" s="82"/>
      <c r="N19" s="82"/>
      <c r="O19" s="82"/>
      <c r="P19" s="82"/>
      <c r="Q19" s="82"/>
      <c r="R19" s="82"/>
      <c r="S19" s="82"/>
      <c r="T19" s="82"/>
    </row>
    <row r="20" spans="1:20" ht="7.5" customHeight="1">
      <c r="A20" s="16"/>
      <c r="B20" s="16"/>
      <c r="C20" s="52"/>
      <c r="D20" s="33"/>
      <c r="E20" s="33"/>
      <c r="F20" s="1"/>
      <c r="J20" s="82"/>
      <c r="K20" s="82"/>
      <c r="L20" s="82"/>
      <c r="M20" s="82"/>
      <c r="N20" s="82"/>
      <c r="O20" s="82"/>
      <c r="P20" s="82"/>
      <c r="Q20" s="82"/>
      <c r="R20" s="82"/>
      <c r="S20" s="82"/>
      <c r="T20" s="82"/>
    </row>
    <row r="21" spans="1:20" ht="15">
      <c r="A21" s="47" t="s">
        <v>169</v>
      </c>
      <c r="B21" s="16"/>
      <c r="C21" s="52">
        <f>SUM(C17:C19)</f>
        <v>15907</v>
      </c>
      <c r="D21" s="33"/>
      <c r="E21" s="33">
        <f>SUM(E17:E19)</f>
        <v>36040</v>
      </c>
      <c r="F21" s="1"/>
      <c r="J21" s="82" t="s">
        <v>190</v>
      </c>
      <c r="K21" s="82" t="s">
        <v>189</v>
      </c>
      <c r="L21" s="82" t="s">
        <v>188</v>
      </c>
      <c r="M21" s="82" t="s">
        <v>187</v>
      </c>
      <c r="N21" s="82"/>
      <c r="O21" s="82"/>
      <c r="P21" s="82" t="s">
        <v>174</v>
      </c>
      <c r="Q21" s="82"/>
      <c r="R21" s="82"/>
      <c r="S21" s="82"/>
      <c r="T21" s="82"/>
    </row>
    <row r="22" spans="1:20" ht="15">
      <c r="A22" s="16" t="s">
        <v>69</v>
      </c>
      <c r="B22" s="16"/>
      <c r="C22" s="52">
        <f>-591</f>
        <v>-591</v>
      </c>
      <c r="D22" s="33"/>
      <c r="E22" s="52">
        <f>-615</f>
        <v>-615</v>
      </c>
      <c r="F22" s="1"/>
      <c r="G22" s="78" t="s">
        <v>191</v>
      </c>
      <c r="J22" s="82"/>
      <c r="K22" s="82"/>
      <c r="L22" s="82"/>
      <c r="M22" s="82">
        <f>O22</f>
        <v>161</v>
      </c>
      <c r="N22" s="82"/>
      <c r="O22" s="82">
        <v>161</v>
      </c>
      <c r="P22" s="82" t="s">
        <v>175</v>
      </c>
      <c r="Q22" s="82"/>
      <c r="R22" s="82"/>
      <c r="S22" s="82"/>
      <c r="T22" s="82"/>
    </row>
    <row r="23" spans="1:20" s="77" customFormat="1" ht="15">
      <c r="A23" s="96" t="s">
        <v>356</v>
      </c>
      <c r="B23" s="16"/>
      <c r="C23" s="261">
        <v>296</v>
      </c>
      <c r="D23" s="33"/>
      <c r="E23" s="38">
        <f>-765</f>
        <v>-765</v>
      </c>
      <c r="F23" s="1"/>
      <c r="G23" s="78"/>
      <c r="J23" s="195"/>
      <c r="K23" s="195"/>
      <c r="L23" s="195"/>
      <c r="M23" s="195"/>
      <c r="N23" s="195"/>
      <c r="O23" s="195"/>
      <c r="P23" s="195"/>
      <c r="Q23" s="195"/>
      <c r="R23" s="195"/>
      <c r="S23" s="195"/>
      <c r="T23" s="195"/>
    </row>
    <row r="24" spans="1:20" ht="7.5" customHeight="1">
      <c r="A24" s="16"/>
      <c r="B24" s="16"/>
      <c r="C24" s="52"/>
      <c r="D24" s="33"/>
      <c r="E24" s="33"/>
      <c r="F24" s="1"/>
      <c r="J24" s="82"/>
      <c r="K24" s="82"/>
      <c r="L24" s="82"/>
      <c r="M24" s="82"/>
      <c r="N24" s="82"/>
      <c r="O24" s="82"/>
      <c r="P24" s="82"/>
      <c r="Q24" s="82"/>
      <c r="R24" s="82"/>
      <c r="S24" s="82"/>
      <c r="T24" s="82"/>
    </row>
    <row r="25" spans="1:20" ht="15">
      <c r="A25" s="185" t="s">
        <v>293</v>
      </c>
      <c r="B25" s="16"/>
      <c r="C25" s="52">
        <f>SUM(C21:C23)</f>
        <v>15612</v>
      </c>
      <c r="D25" s="33"/>
      <c r="E25" s="52">
        <f>SUM(E21:E23)</f>
        <v>34660</v>
      </c>
      <c r="F25" s="1"/>
      <c r="J25" s="82" t="e">
        <f>SUM(#REF!)</f>
        <v>#REF!</v>
      </c>
      <c r="K25" s="82" t="e">
        <f>SUM(#REF!)</f>
        <v>#REF!</v>
      </c>
      <c r="L25" s="82" t="e">
        <f>SUM(#REF!)</f>
        <v>#REF!</v>
      </c>
      <c r="M25" s="82">
        <f>SUM(M22:M23)</f>
        <v>161</v>
      </c>
      <c r="N25" s="82"/>
      <c r="O25" s="82">
        <f>S14</f>
        <v>1381</v>
      </c>
      <c r="P25" s="82"/>
      <c r="Q25" s="82"/>
      <c r="R25" s="82"/>
      <c r="S25" s="82"/>
      <c r="T25" s="82"/>
    </row>
    <row r="26" spans="1:20" ht="9" customHeight="1">
      <c r="A26" s="16"/>
      <c r="B26" s="16"/>
      <c r="C26" s="52"/>
      <c r="D26" s="33"/>
      <c r="E26" s="33"/>
      <c r="F26" s="1"/>
      <c r="J26" s="82"/>
      <c r="K26" s="82"/>
      <c r="L26" s="82"/>
      <c r="M26" s="82"/>
      <c r="N26" s="82"/>
      <c r="O26" s="82"/>
      <c r="P26" s="82"/>
      <c r="Q26" s="82"/>
      <c r="R26" s="82"/>
      <c r="S26" s="82"/>
      <c r="T26" s="82"/>
    </row>
    <row r="27" spans="1:20" ht="12.75" customHeight="1">
      <c r="A27" s="20" t="s">
        <v>70</v>
      </c>
      <c r="B27" s="16"/>
      <c r="C27" s="53"/>
      <c r="D27" s="33"/>
      <c r="E27" s="37"/>
      <c r="F27" s="1"/>
      <c r="J27" s="88" t="s">
        <v>191</v>
      </c>
      <c r="K27" s="88" t="s">
        <v>191</v>
      </c>
      <c r="L27" s="88" t="s">
        <v>191</v>
      </c>
      <c r="M27" s="88" t="s">
        <v>191</v>
      </c>
      <c r="N27" s="82"/>
      <c r="O27" s="82"/>
      <c r="P27" s="82"/>
      <c r="Q27" s="82"/>
      <c r="R27" s="82"/>
      <c r="S27" s="82"/>
      <c r="T27" s="82"/>
    </row>
    <row r="28" spans="1:20" ht="15">
      <c r="A28" s="96" t="s">
        <v>71</v>
      </c>
      <c r="B28" s="96"/>
      <c r="C28" s="262">
        <f>16</f>
        <v>16</v>
      </c>
      <c r="D28" s="37"/>
      <c r="E28" s="39">
        <v>51</v>
      </c>
      <c r="F28" s="1"/>
      <c r="J28" s="82"/>
      <c r="K28" s="82"/>
      <c r="L28" s="82"/>
      <c r="M28" s="82"/>
      <c r="N28" s="82"/>
      <c r="O28" s="82"/>
      <c r="P28" s="82"/>
      <c r="Q28" s="82"/>
      <c r="R28" s="82"/>
      <c r="S28" s="82"/>
      <c r="T28" s="82"/>
    </row>
    <row r="29" spans="1:7" ht="15">
      <c r="A29" s="96" t="s">
        <v>72</v>
      </c>
      <c r="B29" s="96"/>
      <c r="C29" s="263">
        <f>-8307</f>
        <v>-8307</v>
      </c>
      <c r="D29" s="37"/>
      <c r="E29" s="221">
        <f>-2597</f>
        <v>-2597</v>
      </c>
      <c r="F29" s="1"/>
      <c r="G29" s="78" t="s">
        <v>191</v>
      </c>
    </row>
    <row r="30" spans="1:7" ht="15">
      <c r="A30" s="96" t="s">
        <v>162</v>
      </c>
      <c r="B30" s="97"/>
      <c r="C30" s="264">
        <v>82</v>
      </c>
      <c r="D30" s="37"/>
      <c r="E30" s="222">
        <v>65</v>
      </c>
      <c r="F30" s="1"/>
      <c r="G30" s="78" t="s">
        <v>191</v>
      </c>
    </row>
    <row r="31" spans="1:6" ht="15">
      <c r="A31" s="185" t="s">
        <v>73</v>
      </c>
      <c r="B31" s="16"/>
      <c r="C31" s="52">
        <f>SUM(C28:C30)</f>
        <v>-8209</v>
      </c>
      <c r="D31" s="33"/>
      <c r="E31" s="33">
        <f>SUM(E28:E30)</f>
        <v>-2481</v>
      </c>
      <c r="F31" s="1"/>
    </row>
    <row r="32" spans="1:6" ht="9" customHeight="1">
      <c r="A32" s="16"/>
      <c r="B32" s="16"/>
      <c r="C32" s="52"/>
      <c r="D32" s="33"/>
      <c r="E32" s="33"/>
      <c r="F32" s="1"/>
    </row>
    <row r="33" spans="1:6" ht="12.75" customHeight="1">
      <c r="A33" s="20" t="s">
        <v>74</v>
      </c>
      <c r="B33" s="16"/>
      <c r="C33" s="53"/>
      <c r="D33" s="33"/>
      <c r="E33" s="37"/>
      <c r="F33" s="1"/>
    </row>
    <row r="34" spans="1:6" s="66" customFormat="1" ht="12.75" customHeight="1">
      <c r="A34" s="65" t="s">
        <v>294</v>
      </c>
      <c r="B34" s="65"/>
      <c r="C34" s="262">
        <f>-5451</f>
        <v>-5451</v>
      </c>
      <c r="D34" s="33"/>
      <c r="E34" s="39">
        <f>-2725</f>
        <v>-2725</v>
      </c>
      <c r="F34" s="1"/>
    </row>
    <row r="35" spans="1:7" ht="15">
      <c r="A35" s="16" t="s">
        <v>35</v>
      </c>
      <c r="B35" s="34"/>
      <c r="C35" s="264">
        <f>-2737+1229</f>
        <v>-1508</v>
      </c>
      <c r="D35" s="37"/>
      <c r="E35" s="40">
        <f>-35773</f>
        <v>-35773</v>
      </c>
      <c r="F35" s="1"/>
      <c r="G35" s="78" t="s">
        <v>191</v>
      </c>
    </row>
    <row r="36" spans="1:6" s="66" customFormat="1" ht="15">
      <c r="A36" s="185" t="s">
        <v>288</v>
      </c>
      <c r="B36" s="65"/>
      <c r="C36" s="52">
        <f>SUM(C34:C35)</f>
        <v>-6959</v>
      </c>
      <c r="D36" s="33"/>
      <c r="E36" s="52">
        <f>SUM(E34:E35)</f>
        <v>-38498</v>
      </c>
      <c r="F36" s="1"/>
    </row>
    <row r="37" spans="1:6" s="66" customFormat="1" ht="11.25" customHeight="1">
      <c r="A37" s="65"/>
      <c r="B37" s="65"/>
      <c r="C37" s="52"/>
      <c r="D37" s="33"/>
      <c r="E37" s="33"/>
      <c r="F37" s="1"/>
    </row>
    <row r="38" spans="1:6" ht="15">
      <c r="A38" s="44" t="s">
        <v>75</v>
      </c>
      <c r="B38" s="44"/>
      <c r="C38" s="261">
        <v>4026</v>
      </c>
      <c r="D38" s="33"/>
      <c r="E38" s="38">
        <v>2904</v>
      </c>
      <c r="F38" s="1"/>
    </row>
    <row r="39" spans="1:6" ht="6.75" customHeight="1">
      <c r="A39" s="44"/>
      <c r="B39" s="44"/>
      <c r="C39" s="52"/>
      <c r="D39" s="33"/>
      <c r="E39" s="33"/>
      <c r="F39" s="1"/>
    </row>
    <row r="40" spans="1:6" ht="15">
      <c r="A40" s="21" t="s">
        <v>277</v>
      </c>
      <c r="B40" s="21"/>
      <c r="C40" s="52">
        <f>C36+C31+C25+C38</f>
        <v>4470</v>
      </c>
      <c r="D40" s="33"/>
      <c r="E40" s="52">
        <f>E36+E31+E25+E38</f>
        <v>-3415</v>
      </c>
      <c r="F40" s="1"/>
    </row>
    <row r="41" spans="1:6" ht="6.75" customHeight="1">
      <c r="A41" s="16"/>
      <c r="B41" s="16"/>
      <c r="C41" s="52"/>
      <c r="D41" s="33"/>
      <c r="E41" s="33"/>
      <c r="F41" s="1"/>
    </row>
    <row r="42" spans="1:6" ht="15">
      <c r="A42" s="76" t="s">
        <v>167</v>
      </c>
      <c r="B42" s="16"/>
      <c r="C42" s="52">
        <f>-378</f>
        <v>-378</v>
      </c>
      <c r="D42" s="33"/>
      <c r="E42" s="219">
        <f>-185</f>
        <v>-185</v>
      </c>
      <c r="F42" s="1"/>
    </row>
    <row r="43" spans="1:6" ht="6.75" customHeight="1">
      <c r="A43" s="16"/>
      <c r="B43" s="16"/>
      <c r="C43" s="52"/>
      <c r="D43" s="33"/>
      <c r="E43" s="33"/>
      <c r="F43" s="1"/>
    </row>
    <row r="44" spans="1:11" ht="15">
      <c r="A44" s="43" t="s">
        <v>76</v>
      </c>
      <c r="B44" s="16"/>
      <c r="C44" s="52">
        <f>22954</f>
        <v>22954</v>
      </c>
      <c r="D44" s="33"/>
      <c r="E44" s="33">
        <v>14836</v>
      </c>
      <c r="F44" s="1"/>
      <c r="J44" s="66" t="s">
        <v>207</v>
      </c>
      <c r="K44" s="66" t="s">
        <v>208</v>
      </c>
    </row>
    <row r="45" spans="1:11" ht="6.75" customHeight="1">
      <c r="A45" s="16"/>
      <c r="B45" s="16"/>
      <c r="C45" s="261"/>
      <c r="D45" s="33"/>
      <c r="E45" s="38"/>
      <c r="F45" s="1"/>
      <c r="J45" s="82"/>
      <c r="K45" s="82"/>
    </row>
    <row r="46" spans="1:11" ht="15.75" thickBot="1">
      <c r="A46" s="43" t="s">
        <v>77</v>
      </c>
      <c r="B46" s="16"/>
      <c r="C46" s="265">
        <f>SUM(C40:C44)</f>
        <v>27046</v>
      </c>
      <c r="D46" s="33"/>
      <c r="E46" s="41">
        <f>SUM(E40:E44)</f>
        <v>11236</v>
      </c>
      <c r="F46" s="1"/>
      <c r="H46" s="66" t="s">
        <v>206</v>
      </c>
      <c r="J46" s="82">
        <v>4689611980</v>
      </c>
      <c r="K46" s="82">
        <v>928452</v>
      </c>
    </row>
    <row r="47" spans="1:11" ht="15.75" thickTop="1">
      <c r="A47" s="16"/>
      <c r="B47" s="16"/>
      <c r="C47" s="51"/>
      <c r="D47" s="16"/>
      <c r="E47" s="22"/>
      <c r="F47" s="1"/>
      <c r="J47" s="82"/>
      <c r="K47" s="82"/>
    </row>
    <row r="48" spans="1:11" ht="12.75" customHeight="1">
      <c r="A48" s="35" t="s">
        <v>163</v>
      </c>
      <c r="B48" s="31"/>
      <c r="C48" s="51"/>
      <c r="D48" s="31"/>
      <c r="F48" s="1"/>
      <c r="H48" s="66" t="s">
        <v>209</v>
      </c>
      <c r="J48" s="82">
        <v>5887</v>
      </c>
      <c r="K48" s="82">
        <f>J46/J48</f>
        <v>796604.718872091</v>
      </c>
    </row>
    <row r="49" spans="1:11" ht="12.75" customHeight="1">
      <c r="A49" s="36" t="s">
        <v>261</v>
      </c>
      <c r="B49" s="31"/>
      <c r="C49" s="53">
        <v>24911</v>
      </c>
      <c r="D49" s="33"/>
      <c r="E49" s="53">
        <v>11601</v>
      </c>
      <c r="F49" s="1"/>
      <c r="J49" s="82"/>
      <c r="K49" s="82"/>
    </row>
    <row r="50" spans="1:11" s="77" customFormat="1" ht="12.75" customHeight="1">
      <c r="A50" s="36" t="s">
        <v>298</v>
      </c>
      <c r="B50" s="290"/>
      <c r="C50" s="53">
        <v>2135</v>
      </c>
      <c r="D50" s="33"/>
      <c r="E50" s="53">
        <v>0</v>
      </c>
      <c r="F50" s="1"/>
      <c r="J50" s="195"/>
      <c r="K50" s="195"/>
    </row>
    <row r="51" spans="1:11" ht="12.75" customHeight="1">
      <c r="A51" s="36" t="s">
        <v>164</v>
      </c>
      <c r="B51" s="31"/>
      <c r="C51" s="52">
        <v>0</v>
      </c>
      <c r="D51" s="33"/>
      <c r="E51" s="37">
        <f>-365</f>
        <v>-365</v>
      </c>
      <c r="G51" s="45">
        <f>C51-E49</f>
        <v>-11601</v>
      </c>
      <c r="J51" s="82"/>
      <c r="K51" s="82">
        <f>K48-K46</f>
        <v>-131847.28112790897</v>
      </c>
    </row>
    <row r="52" spans="1:22" ht="15.75" thickBot="1">
      <c r="A52" s="31"/>
      <c r="B52" s="31"/>
      <c r="C52" s="54">
        <f>SUM(C49:C51)</f>
        <v>27046</v>
      </c>
      <c r="D52" s="33"/>
      <c r="E52" s="54">
        <f>SUM(E49:E51)</f>
        <v>11236</v>
      </c>
      <c r="F52" s="45">
        <f>C52-C46</f>
        <v>0</v>
      </c>
      <c r="G52" s="29"/>
      <c r="V52" s="29">
        <f>E46-E52</f>
        <v>0</v>
      </c>
    </row>
    <row r="53" spans="1:7" s="77" customFormat="1" ht="15.75" thickTop="1">
      <c r="A53" s="96"/>
      <c r="B53" s="96"/>
      <c r="C53" s="53"/>
      <c r="D53" s="33"/>
      <c r="E53" s="53"/>
      <c r="F53" s="45"/>
      <c r="G53" s="29"/>
    </row>
    <row r="54" spans="1:7" s="77" customFormat="1" ht="6" customHeight="1">
      <c r="A54" s="185"/>
      <c r="B54" s="185"/>
      <c r="C54" s="53"/>
      <c r="D54" s="33"/>
      <c r="E54" s="53"/>
      <c r="F54" s="45"/>
      <c r="G54" s="29"/>
    </row>
    <row r="55" spans="1:7" s="77" customFormat="1" ht="15">
      <c r="A55" s="96"/>
      <c r="B55" s="96"/>
      <c r="C55" s="53"/>
      <c r="D55" s="33"/>
      <c r="E55" s="53"/>
      <c r="F55" s="45"/>
      <c r="G55" s="29"/>
    </row>
    <row r="56" spans="1:6" ht="15" customHeight="1">
      <c r="A56" s="339" t="s">
        <v>305</v>
      </c>
      <c r="B56" s="339"/>
      <c r="C56" s="339"/>
      <c r="D56" s="339"/>
      <c r="E56" s="339"/>
      <c r="F56" s="1"/>
    </row>
    <row r="57" spans="1:6" ht="20.25" customHeight="1">
      <c r="A57" s="339"/>
      <c r="B57" s="339"/>
      <c r="C57" s="339"/>
      <c r="D57" s="339"/>
      <c r="E57" s="339"/>
      <c r="F57" s="1"/>
    </row>
    <row r="58" spans="1:6" ht="15">
      <c r="A58" s="13"/>
      <c r="B58" s="13"/>
      <c r="C58" s="291"/>
      <c r="D58" s="13"/>
      <c r="E58" s="13"/>
      <c r="F58" s="13"/>
    </row>
    <row r="59" spans="1:6" ht="15">
      <c r="A59" s="13"/>
      <c r="B59" s="13"/>
      <c r="C59" s="291"/>
      <c r="D59" s="13"/>
      <c r="E59" s="13"/>
      <c r="F59" s="13"/>
    </row>
  </sheetData>
  <sheetProtection/>
  <mergeCells count="5">
    <mergeCell ref="A2:E3"/>
    <mergeCell ref="A4:E4"/>
    <mergeCell ref="A56:E57"/>
    <mergeCell ref="A6:C6"/>
    <mergeCell ref="A7:D7"/>
  </mergeCells>
  <printOptions/>
  <pageMargins left="0.7" right="0.26" top="0.4" bottom="0.45" header="0.3" footer="0.19"/>
  <pageSetup firstPageNumber="5" useFirstPageNumber="1" horizontalDpi="600" verticalDpi="600" orientation="portrait" paperSize="9" scale="99" r:id="rId3"/>
  <headerFooter>
    <oddFooter>&amp;C&amp;P</oddFooter>
  </headerFooter>
  <legacyDrawing r:id="rId2"/>
  <oleObjects>
    <oleObject progId="Word.Picture.8" shapeId="380619" r:id="rId1"/>
  </oleObject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75"/>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TSH</dc:creator>
  <cp:keywords/>
  <dc:description/>
  <cp:lastModifiedBy>User</cp:lastModifiedBy>
  <cp:lastPrinted>2011-11-23T07:33:07Z</cp:lastPrinted>
  <dcterms:created xsi:type="dcterms:W3CDTF">2009-08-18T09:04:05Z</dcterms:created>
  <dcterms:modified xsi:type="dcterms:W3CDTF">2011-11-23T07:36:35Z</dcterms:modified>
  <cp:category/>
  <cp:version/>
  <cp:contentType/>
  <cp:contentStatus/>
</cp:coreProperties>
</file>